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7.xml" ContentType="application/vnd.openxmlformats-officedocument.drawing+xml"/>
  <Override PartName="/xl/comments4.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omments5.xml" ContentType="application/vnd.openxmlformats-officedocument.spreadsheetml.comments+xml"/>
  <Override PartName="/xl/drawings/drawing8.xml" ContentType="application/vnd.openxmlformats-officedocument.drawing+xml"/>
  <Override PartName="/xl/charts/chart11.xml" ContentType="application/vnd.openxmlformats-officedocument.drawingml.chart+xml"/>
  <Override PartName="/xl/drawings/drawing9.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0" windowWidth="19416" windowHeight="5316" tabRatio="775"/>
  </bookViews>
  <sheets>
    <sheet name="Comparatif-SideBySide" sheetId="5" r:id="rId1"/>
    <sheet name="EXPLICATION_RAPIDE_DU_CHIFFRIER" sheetId="12" r:id="rId2"/>
    <sheet name="Template_Questions" sheetId="14" r:id="rId3"/>
    <sheet name="Démontrastion-a-Date" sheetId="11" r:id="rId4"/>
    <sheet name="Francais" sheetId="1" r:id="rId5"/>
    <sheet name="English" sheetId="2" r:id="rId6"/>
    <sheet name="FAQ" sheetId="13" r:id="rId7"/>
    <sheet name="LocationOuAchat" sheetId="4" r:id="rId8"/>
    <sheet name="Feuil1" sheetId="3" r:id="rId9"/>
    <sheet name="Comparatif-SideBySide CASH" sheetId="6" r:id="rId10"/>
    <sheet name="Comparatif-CASH only energy" sheetId="7" r:id="rId11"/>
    <sheet name="Volt_Cout_du_gaz" sheetId="9" r:id="rId12"/>
    <sheet name="Mythes et autres" sheetId="15" r:id="rId13"/>
    <sheet name="KWH" sheetId="10" r:id="rId14"/>
  </sheets>
  <definedNames>
    <definedName name="_xlnm.Print_Area" localSheetId="10">'Comparatif-CASH only energy'!$B$2:$M$98</definedName>
    <definedName name="_xlnm.Print_Area" localSheetId="0">'Comparatif-SideBySide'!$B$2:$M$119</definedName>
    <definedName name="_xlnm.Print_Area" localSheetId="9">'Comparatif-SideBySide CASH'!$B$2:$M$96</definedName>
    <definedName name="_xlnm.Print_Area" localSheetId="5">English!$A$1:$M$70</definedName>
    <definedName name="_xlnm.Print_Area" localSheetId="4">Francais!$A$1:$M$74</definedName>
  </definedNames>
  <calcPr calcId="145621"/>
</workbook>
</file>

<file path=xl/calcChain.xml><?xml version="1.0" encoding="utf-8"?>
<calcChain xmlns="http://schemas.openxmlformats.org/spreadsheetml/2006/main">
  <c r="C72" i="5" l="1"/>
  <c r="D72" i="5" l="1"/>
  <c r="M72" i="5" s="1"/>
  <c r="E72" i="5"/>
  <c r="F72" i="5"/>
  <c r="G72" i="5"/>
  <c r="H72" i="5"/>
  <c r="I72" i="5"/>
  <c r="D66" i="2" l="1"/>
  <c r="D69" i="1"/>
  <c r="E20" i="2" l="1"/>
  <c r="F20" i="2"/>
  <c r="G20" i="2" s="1"/>
  <c r="H20" i="2" s="1"/>
  <c r="I20" i="2" s="1"/>
  <c r="J20" i="2" s="1"/>
  <c r="K20" i="2" s="1"/>
  <c r="L20" i="2" s="1"/>
  <c r="D20" i="2"/>
  <c r="C20" i="2"/>
  <c r="E23" i="1"/>
  <c r="F23" i="1"/>
  <c r="G23" i="1" s="1"/>
  <c r="H23" i="1" s="1"/>
  <c r="I23" i="1" s="1"/>
  <c r="J23" i="1" s="1"/>
  <c r="K23" i="1" s="1"/>
  <c r="L23" i="1" s="1"/>
  <c r="D23" i="1"/>
  <c r="C23" i="1"/>
  <c r="C26" i="1" l="1"/>
  <c r="D75" i="5" l="1"/>
  <c r="D71" i="5"/>
  <c r="E71" i="5"/>
  <c r="F71" i="5"/>
  <c r="G71" i="5"/>
  <c r="H71" i="5"/>
  <c r="C71" i="5"/>
  <c r="E75" i="5" l="1"/>
  <c r="M71" i="5"/>
  <c r="C32" i="1"/>
  <c r="F75" i="5" l="1"/>
  <c r="M25" i="1"/>
  <c r="G75" i="5" l="1"/>
  <c r="C66" i="5"/>
  <c r="H75" i="5" l="1"/>
  <c r="M69" i="5"/>
  <c r="I75" i="5" l="1"/>
  <c r="C67" i="5"/>
  <c r="C82" i="5" s="1"/>
  <c r="J75" i="5" l="1"/>
  <c r="C30" i="1"/>
  <c r="C42" i="1" s="1"/>
  <c r="B6" i="11"/>
  <c r="E11" i="11"/>
  <c r="E15" i="11"/>
  <c r="K75" i="5" l="1"/>
  <c r="C43" i="1"/>
  <c r="C33" i="1"/>
  <c r="E16" i="11"/>
  <c r="H6" i="11"/>
  <c r="I6" i="11" s="1"/>
  <c r="E6" i="11"/>
  <c r="F6" i="11" s="1"/>
  <c r="L75" i="5" l="1"/>
  <c r="C61" i="5"/>
  <c r="M75" i="5" l="1"/>
  <c r="D74" i="5"/>
  <c r="E74" i="5" s="1"/>
  <c r="F74" i="5" s="1"/>
  <c r="G74" i="5" s="1"/>
  <c r="H74" i="5" s="1"/>
  <c r="I74" i="5" s="1"/>
  <c r="J74" i="5" s="1"/>
  <c r="K74" i="5" s="1"/>
  <c r="L74" i="5" s="1"/>
  <c r="D70" i="2" l="1"/>
  <c r="D68" i="2" l="1"/>
  <c r="D67" i="2"/>
  <c r="D71" i="1"/>
  <c r="D70" i="1"/>
  <c r="C28" i="2" l="1"/>
  <c r="C26" i="2"/>
  <c r="M25" i="2"/>
  <c r="E25" i="2"/>
  <c r="F25" i="2" s="1"/>
  <c r="G25" i="2" s="1"/>
  <c r="H25" i="2" s="1"/>
  <c r="I25" i="2" s="1"/>
  <c r="J25" i="2" s="1"/>
  <c r="K25" i="2" s="1"/>
  <c r="L25" i="2" s="1"/>
  <c r="D25" i="2"/>
  <c r="D27" i="1"/>
  <c r="E27" i="1" s="1"/>
  <c r="F27" i="1" s="1"/>
  <c r="G27" i="1" s="1"/>
  <c r="H27" i="1" s="1"/>
  <c r="I27" i="1" s="1"/>
  <c r="J27" i="1" s="1"/>
  <c r="K27" i="1" s="1"/>
  <c r="L27" i="1" s="1"/>
  <c r="G3" i="10" l="1"/>
  <c r="G4" i="10" s="1"/>
  <c r="E3" i="10"/>
  <c r="E4" i="10" s="1"/>
  <c r="F1" i="10"/>
  <c r="D1" i="10"/>
  <c r="D3" i="10" s="1"/>
  <c r="F3" i="10"/>
  <c r="M27" i="1" l="1"/>
  <c r="D61" i="5" l="1"/>
  <c r="E61" i="5" s="1"/>
  <c r="F61" i="5" s="1"/>
  <c r="G61" i="5" s="1"/>
  <c r="H61" i="5" s="1"/>
  <c r="I61" i="5" s="1"/>
  <c r="D66" i="5"/>
  <c r="E66" i="5" l="1"/>
  <c r="F66" i="5" l="1"/>
  <c r="D56" i="9"/>
  <c r="E56" i="9" s="1"/>
  <c r="D55" i="9"/>
  <c r="E55" i="9" s="1"/>
  <c r="I55" i="9" s="1"/>
  <c r="D54" i="9"/>
  <c r="E54" i="9" s="1"/>
  <c r="G53" i="9"/>
  <c r="H53" i="9" s="1"/>
  <c r="F53" i="9"/>
  <c r="D53" i="9"/>
  <c r="E53" i="9" s="1"/>
  <c r="I53" i="9" s="1"/>
  <c r="I52" i="9"/>
  <c r="H52" i="9"/>
  <c r="E52" i="9"/>
  <c r="F52" i="9" s="1"/>
  <c r="G52" i="9" s="1"/>
  <c r="D52" i="9"/>
  <c r="F51" i="9"/>
  <c r="G51" i="9" s="1"/>
  <c r="H51" i="9" s="1"/>
  <c r="D51" i="9"/>
  <c r="E51" i="9" s="1"/>
  <c r="I51" i="9" s="1"/>
  <c r="E50" i="9"/>
  <c r="F50" i="9" s="1"/>
  <c r="G50" i="9" s="1"/>
  <c r="H50" i="9" s="1"/>
  <c r="D50" i="9"/>
  <c r="D49" i="9"/>
  <c r="E49" i="9" s="1"/>
  <c r="I49" i="9" s="1"/>
  <c r="D48" i="9"/>
  <c r="E48" i="9" s="1"/>
  <c r="D47" i="9"/>
  <c r="E47" i="9" s="1"/>
  <c r="I47" i="9" s="1"/>
  <c r="D46" i="9"/>
  <c r="E46" i="9" s="1"/>
  <c r="G45" i="9"/>
  <c r="H45" i="9" s="1"/>
  <c r="F45" i="9"/>
  <c r="D45" i="9"/>
  <c r="E45" i="9" s="1"/>
  <c r="I45" i="9" s="1"/>
  <c r="I44" i="9"/>
  <c r="H44" i="9"/>
  <c r="E44" i="9"/>
  <c r="F44" i="9" s="1"/>
  <c r="G44" i="9" s="1"/>
  <c r="D44" i="9"/>
  <c r="F43" i="9"/>
  <c r="G43" i="9" s="1"/>
  <c r="H43" i="9" s="1"/>
  <c r="D43" i="9"/>
  <c r="E43" i="9" s="1"/>
  <c r="I43" i="9" s="1"/>
  <c r="E42" i="9"/>
  <c r="F42" i="9" s="1"/>
  <c r="G42" i="9" s="1"/>
  <c r="H42" i="9" s="1"/>
  <c r="D42" i="9"/>
  <c r="D41" i="9"/>
  <c r="E41" i="9" s="1"/>
  <c r="I41" i="9" s="1"/>
  <c r="D40" i="9"/>
  <c r="E40" i="9" s="1"/>
  <c r="D39" i="9"/>
  <c r="E39" i="9" s="1"/>
  <c r="I39" i="9" s="1"/>
  <c r="D38" i="9"/>
  <c r="E38" i="9" s="1"/>
  <c r="G37" i="9"/>
  <c r="H37" i="9" s="1"/>
  <c r="F37" i="9"/>
  <c r="D37" i="9"/>
  <c r="E37" i="9" s="1"/>
  <c r="I37" i="9" s="1"/>
  <c r="I36" i="9"/>
  <c r="H36" i="9"/>
  <c r="E36" i="9"/>
  <c r="F36" i="9" s="1"/>
  <c r="G36" i="9" s="1"/>
  <c r="D36" i="9"/>
  <c r="F35" i="9"/>
  <c r="G35" i="9" s="1"/>
  <c r="H35" i="9" s="1"/>
  <c r="D35" i="9"/>
  <c r="E35" i="9" s="1"/>
  <c r="I35" i="9" s="1"/>
  <c r="E34" i="9"/>
  <c r="F34" i="9" s="1"/>
  <c r="G34" i="9" s="1"/>
  <c r="H34" i="9" s="1"/>
  <c r="D34" i="9"/>
  <c r="D33" i="9"/>
  <c r="E33" i="9" s="1"/>
  <c r="I33" i="9" s="1"/>
  <c r="D32" i="9"/>
  <c r="E32" i="9" s="1"/>
  <c r="D31" i="9"/>
  <c r="E31" i="9" s="1"/>
  <c r="I31" i="9" s="1"/>
  <c r="D30" i="9"/>
  <c r="E30" i="9" s="1"/>
  <c r="G29" i="9"/>
  <c r="H29" i="9" s="1"/>
  <c r="F29" i="9"/>
  <c r="D29" i="9"/>
  <c r="E29" i="9" s="1"/>
  <c r="I29" i="9" s="1"/>
  <c r="I28" i="9"/>
  <c r="H28" i="9"/>
  <c r="E28" i="9"/>
  <c r="F28" i="9" s="1"/>
  <c r="G28" i="9" s="1"/>
  <c r="D28" i="9"/>
  <c r="F27" i="9"/>
  <c r="G27" i="9" s="1"/>
  <c r="H27" i="9" s="1"/>
  <c r="D27" i="9"/>
  <c r="E27" i="9" s="1"/>
  <c r="I27" i="9" s="1"/>
  <c r="E26" i="9"/>
  <c r="F26" i="9" s="1"/>
  <c r="G26" i="9" s="1"/>
  <c r="H26" i="9" s="1"/>
  <c r="D26" i="9"/>
  <c r="D25" i="9"/>
  <c r="E25" i="9" s="1"/>
  <c r="I25" i="9" s="1"/>
  <c r="D24" i="9"/>
  <c r="E24" i="9" s="1"/>
  <c r="D23" i="9"/>
  <c r="E23" i="9" s="1"/>
  <c r="I23" i="9" s="1"/>
  <c r="D22" i="9"/>
  <c r="E22" i="9" s="1"/>
  <c r="G21" i="9"/>
  <c r="H21" i="9" s="1"/>
  <c r="F21" i="9"/>
  <c r="D21" i="9"/>
  <c r="E21" i="9" s="1"/>
  <c r="I21" i="9" s="1"/>
  <c r="I20" i="9"/>
  <c r="H20" i="9"/>
  <c r="E20" i="9"/>
  <c r="F20" i="9" s="1"/>
  <c r="G20" i="9" s="1"/>
  <c r="D20" i="9"/>
  <c r="F19" i="9"/>
  <c r="G19" i="9" s="1"/>
  <c r="H19" i="9" s="1"/>
  <c r="D19" i="9"/>
  <c r="E19" i="9" s="1"/>
  <c r="I19" i="9" s="1"/>
  <c r="E18" i="9"/>
  <c r="F18" i="9" s="1"/>
  <c r="G18" i="9" s="1"/>
  <c r="H18" i="9" s="1"/>
  <c r="D18" i="9"/>
  <c r="D17" i="9"/>
  <c r="E17" i="9" s="1"/>
  <c r="I17" i="9" s="1"/>
  <c r="E16" i="9"/>
  <c r="I16" i="9" s="1"/>
  <c r="D16" i="9"/>
  <c r="F15" i="9"/>
  <c r="G15" i="9" s="1"/>
  <c r="H15" i="9" s="1"/>
  <c r="D15" i="9"/>
  <c r="E15" i="9" s="1"/>
  <c r="I15" i="9" s="1"/>
  <c r="F14" i="9"/>
  <c r="G14" i="9" s="1"/>
  <c r="H14" i="9" s="1"/>
  <c r="E14" i="9"/>
  <c r="I14" i="9" s="1"/>
  <c r="D14" i="9"/>
  <c r="G13" i="9"/>
  <c r="H13" i="9" s="1"/>
  <c r="F13" i="9"/>
  <c r="D13" i="9"/>
  <c r="E13" i="9" s="1"/>
  <c r="I13" i="9" s="1"/>
  <c r="D12" i="9"/>
  <c r="E12" i="9" s="1"/>
  <c r="D11" i="9"/>
  <c r="E11" i="9" s="1"/>
  <c r="I11" i="9" s="1"/>
  <c r="D10" i="9"/>
  <c r="E10" i="9" s="1"/>
  <c r="D9" i="9"/>
  <c r="E9" i="9" s="1"/>
  <c r="I9" i="9" s="1"/>
  <c r="E8" i="9"/>
  <c r="I8" i="9" s="1"/>
  <c r="D8" i="9"/>
  <c r="F7" i="9"/>
  <c r="G7" i="9" s="1"/>
  <c r="H7" i="9" s="1"/>
  <c r="D7" i="9"/>
  <c r="E7" i="9" s="1"/>
  <c r="I7" i="9" s="1"/>
  <c r="F6" i="9"/>
  <c r="G6" i="9" s="1"/>
  <c r="H6" i="9" s="1"/>
  <c r="E6" i="9"/>
  <c r="I6" i="9" s="1"/>
  <c r="D6" i="9"/>
  <c r="G5" i="9"/>
  <c r="H5" i="9" s="1"/>
  <c r="F5" i="9"/>
  <c r="D5" i="9"/>
  <c r="E5" i="9" s="1"/>
  <c r="I5" i="9" s="1"/>
  <c r="G66" i="5" l="1"/>
  <c r="F10" i="9"/>
  <c r="G10" i="9" s="1"/>
  <c r="H10" i="9" s="1"/>
  <c r="I10" i="9"/>
  <c r="F30" i="9"/>
  <c r="G30" i="9" s="1"/>
  <c r="H30" i="9" s="1"/>
  <c r="I30" i="9"/>
  <c r="F54" i="9"/>
  <c r="G54" i="9" s="1"/>
  <c r="H54" i="9" s="1"/>
  <c r="I54" i="9"/>
  <c r="F12" i="9"/>
  <c r="G12" i="9" s="1"/>
  <c r="H12" i="9" s="1"/>
  <c r="I12" i="9"/>
  <c r="F32" i="9"/>
  <c r="G32" i="9" s="1"/>
  <c r="H32" i="9" s="1"/>
  <c r="I32" i="9"/>
  <c r="F46" i="9"/>
  <c r="G46" i="9" s="1"/>
  <c r="H46" i="9" s="1"/>
  <c r="I46" i="9"/>
  <c r="F48" i="9"/>
  <c r="G48" i="9" s="1"/>
  <c r="H48" i="9" s="1"/>
  <c r="I48" i="9"/>
  <c r="F22" i="9"/>
  <c r="G22" i="9" s="1"/>
  <c r="H22" i="9" s="1"/>
  <c r="I22" i="9"/>
  <c r="F40" i="9"/>
  <c r="G40" i="9" s="1"/>
  <c r="H40" i="9" s="1"/>
  <c r="I40" i="9"/>
  <c r="F24" i="9"/>
  <c r="G24" i="9" s="1"/>
  <c r="H24" i="9" s="1"/>
  <c r="I24" i="9"/>
  <c r="F38" i="9"/>
  <c r="G38" i="9" s="1"/>
  <c r="H38" i="9" s="1"/>
  <c r="I38" i="9"/>
  <c r="F56" i="9"/>
  <c r="G56" i="9" s="1"/>
  <c r="H56" i="9" s="1"/>
  <c r="I56" i="9"/>
  <c r="F8" i="9"/>
  <c r="G8" i="9" s="1"/>
  <c r="H8" i="9" s="1"/>
  <c r="F17" i="9"/>
  <c r="G17" i="9" s="1"/>
  <c r="H17" i="9" s="1"/>
  <c r="F25" i="9"/>
  <c r="G25" i="9" s="1"/>
  <c r="H25" i="9" s="1"/>
  <c r="F33" i="9"/>
  <c r="G33" i="9" s="1"/>
  <c r="H33" i="9" s="1"/>
  <c r="F41" i="9"/>
  <c r="G41" i="9" s="1"/>
  <c r="H41" i="9" s="1"/>
  <c r="F49" i="9"/>
  <c r="G49" i="9" s="1"/>
  <c r="H49" i="9" s="1"/>
  <c r="I57" i="9"/>
  <c r="F11" i="9"/>
  <c r="G11" i="9" s="1"/>
  <c r="H11" i="9" s="1"/>
  <c r="I18" i="9"/>
  <c r="F23" i="9"/>
  <c r="G23" i="9" s="1"/>
  <c r="H23" i="9" s="1"/>
  <c r="I26" i="9"/>
  <c r="F31" i="9"/>
  <c r="G31" i="9" s="1"/>
  <c r="H31" i="9" s="1"/>
  <c r="I34" i="9"/>
  <c r="F39" i="9"/>
  <c r="G39" i="9" s="1"/>
  <c r="H39" i="9" s="1"/>
  <c r="I42" i="9"/>
  <c r="F47" i="9"/>
  <c r="G47" i="9" s="1"/>
  <c r="H47" i="9" s="1"/>
  <c r="I50" i="9"/>
  <c r="F55" i="9"/>
  <c r="G55" i="9" s="1"/>
  <c r="H55" i="9" s="1"/>
  <c r="F9" i="9"/>
  <c r="G9" i="9" s="1"/>
  <c r="H9" i="9" s="1"/>
  <c r="H57" i="9" s="1"/>
  <c r="F16" i="9"/>
  <c r="G16" i="9" s="1"/>
  <c r="H16" i="9" s="1"/>
  <c r="H66" i="5" l="1"/>
  <c r="C64" i="5"/>
  <c r="D64" i="5" s="1"/>
  <c r="E64" i="5" s="1"/>
  <c r="F64" i="5" s="1"/>
  <c r="G64" i="5" s="1"/>
  <c r="H64" i="5" s="1"/>
  <c r="I64" i="5" s="1"/>
  <c r="I66" i="5" l="1"/>
  <c r="M64" i="5"/>
  <c r="M81" i="7"/>
  <c r="E81" i="7"/>
  <c r="F81" i="7" s="1"/>
  <c r="G81" i="7" s="1"/>
  <c r="H81" i="7" s="1"/>
  <c r="I81" i="7" s="1"/>
  <c r="J81" i="7" s="1"/>
  <c r="K81" i="7" s="1"/>
  <c r="L81" i="7" s="1"/>
  <c r="D81" i="7"/>
  <c r="C81" i="7"/>
  <c r="M80" i="7"/>
  <c r="E80" i="7"/>
  <c r="F80" i="7"/>
  <c r="G80" i="7"/>
  <c r="H80" i="7" s="1"/>
  <c r="I80" i="7" s="1"/>
  <c r="J80" i="7" s="1"/>
  <c r="K80" i="7" s="1"/>
  <c r="L80" i="7" s="1"/>
  <c r="D80" i="7"/>
  <c r="C80" i="7"/>
  <c r="C106" i="7"/>
  <c r="B106" i="7"/>
  <c r="B103" i="7"/>
  <c r="C72" i="7"/>
  <c r="C86" i="7" s="1"/>
  <c r="E68" i="7"/>
  <c r="F68" i="7" s="1"/>
  <c r="G68" i="7" s="1"/>
  <c r="H68" i="7" s="1"/>
  <c r="I68" i="7" s="1"/>
  <c r="J68" i="7" s="1"/>
  <c r="K68" i="7" s="1"/>
  <c r="L68" i="7" s="1"/>
  <c r="D68" i="7"/>
  <c r="C67" i="7"/>
  <c r="D67" i="7" s="1"/>
  <c r="D74" i="7" s="1"/>
  <c r="D88" i="7" s="1"/>
  <c r="C66" i="7"/>
  <c r="M66" i="7" s="1"/>
  <c r="D65" i="7"/>
  <c r="C64" i="7"/>
  <c r="C71" i="7" s="1"/>
  <c r="C63" i="7"/>
  <c r="M63" i="7" s="1"/>
  <c r="C62" i="7"/>
  <c r="M62" i="7" s="1"/>
  <c r="M61" i="7"/>
  <c r="C60" i="7"/>
  <c r="M60" i="7" s="1"/>
  <c r="C59" i="7"/>
  <c r="C59" i="6"/>
  <c r="C60" i="6"/>
  <c r="M60" i="6" s="1"/>
  <c r="C62" i="6"/>
  <c r="C72" i="6" s="1"/>
  <c r="C63" i="6"/>
  <c r="C73" i="6" s="1"/>
  <c r="C85" i="6" s="1"/>
  <c r="C66" i="6"/>
  <c r="B104" i="6"/>
  <c r="C104" i="6" s="1"/>
  <c r="C74" i="6" s="1"/>
  <c r="C86" i="6" s="1"/>
  <c r="B101" i="6"/>
  <c r="D68" i="6"/>
  <c r="C67" i="6"/>
  <c r="D67" i="6" s="1"/>
  <c r="D65" i="6"/>
  <c r="E65" i="6" s="1"/>
  <c r="F65" i="6" s="1"/>
  <c r="G65" i="6" s="1"/>
  <c r="H65" i="6" s="1"/>
  <c r="I65" i="6" s="1"/>
  <c r="J65" i="6" s="1"/>
  <c r="K65" i="6" s="1"/>
  <c r="L65" i="6" s="1"/>
  <c r="C64" i="6"/>
  <c r="C71" i="6"/>
  <c r="C70" i="6"/>
  <c r="C82" i="6" s="1"/>
  <c r="C69" i="6"/>
  <c r="M66" i="5" l="1"/>
  <c r="C78" i="7"/>
  <c r="D64" i="7"/>
  <c r="D70" i="7" s="1"/>
  <c r="E67" i="7"/>
  <c r="F67" i="7" s="1"/>
  <c r="F74" i="7" s="1"/>
  <c r="F88" i="7" s="1"/>
  <c r="C73" i="7"/>
  <c r="C79" i="7" s="1"/>
  <c r="C70" i="7"/>
  <c r="C84" i="7" s="1"/>
  <c r="C69" i="7"/>
  <c r="M59" i="7"/>
  <c r="D72" i="7"/>
  <c r="E64" i="7"/>
  <c r="E65" i="7"/>
  <c r="F65" i="7" s="1"/>
  <c r="G65" i="7" s="1"/>
  <c r="H65" i="7" s="1"/>
  <c r="I65" i="7" s="1"/>
  <c r="J65" i="7" s="1"/>
  <c r="K65" i="7" s="1"/>
  <c r="L65" i="7" s="1"/>
  <c r="G67" i="7"/>
  <c r="D73" i="7"/>
  <c r="D87" i="7" s="1"/>
  <c r="D93" i="7" s="1"/>
  <c r="C76" i="7"/>
  <c r="M68" i="7"/>
  <c r="D71" i="7"/>
  <c r="C74" i="7"/>
  <c r="C85" i="7"/>
  <c r="C77" i="7"/>
  <c r="D69" i="7"/>
  <c r="E74" i="7"/>
  <c r="M63" i="6"/>
  <c r="D64" i="6"/>
  <c r="C80" i="6"/>
  <c r="M59" i="6"/>
  <c r="M61" i="6"/>
  <c r="M62" i="6"/>
  <c r="E68" i="6"/>
  <c r="F68" i="6" s="1"/>
  <c r="G68" i="6" s="1"/>
  <c r="H68" i="6" s="1"/>
  <c r="I68" i="6" s="1"/>
  <c r="J68" i="6" s="1"/>
  <c r="K68" i="6" s="1"/>
  <c r="L68" i="6" s="1"/>
  <c r="C83" i="6"/>
  <c r="C89" i="6" s="1"/>
  <c r="C77" i="6"/>
  <c r="M65" i="6"/>
  <c r="C78" i="6"/>
  <c r="C84" i="6"/>
  <c r="C90" i="6" s="1"/>
  <c r="C91" i="6"/>
  <c r="C88" i="6"/>
  <c r="C81" i="6"/>
  <c r="C87" i="6" s="1"/>
  <c r="C75" i="6"/>
  <c r="E67" i="6"/>
  <c r="F67" i="6" s="1"/>
  <c r="G67" i="6" s="1"/>
  <c r="H67" i="6" s="1"/>
  <c r="I67" i="6" s="1"/>
  <c r="J67" i="6" s="1"/>
  <c r="D74" i="6"/>
  <c r="D72" i="6"/>
  <c r="E64" i="6"/>
  <c r="C76" i="6"/>
  <c r="E72" i="6"/>
  <c r="C79" i="6"/>
  <c r="D73" i="6"/>
  <c r="D85" i="6" s="1"/>
  <c r="C60" i="5"/>
  <c r="D60" i="5" s="1"/>
  <c r="E60" i="5" s="1"/>
  <c r="F60" i="5" s="1"/>
  <c r="G60" i="5" s="1"/>
  <c r="H60" i="5" s="1"/>
  <c r="I60" i="5" s="1"/>
  <c r="C87" i="7" l="1"/>
  <c r="H67" i="7"/>
  <c r="G74" i="7"/>
  <c r="D76" i="7"/>
  <c r="D84" i="7"/>
  <c r="D90" i="7" s="1"/>
  <c r="D83" i="7"/>
  <c r="D89" i="7" s="1"/>
  <c r="C88" i="7"/>
  <c r="C82" i="7"/>
  <c r="D82" i="7" s="1"/>
  <c r="D85" i="7"/>
  <c r="D91" i="7" s="1"/>
  <c r="D77" i="7"/>
  <c r="M65" i="7"/>
  <c r="E71" i="7"/>
  <c r="E73" i="7"/>
  <c r="E87" i="7" s="1"/>
  <c r="E69" i="7"/>
  <c r="E72" i="7"/>
  <c r="E70" i="7"/>
  <c r="F64" i="7"/>
  <c r="C83" i="7"/>
  <c r="C75" i="7"/>
  <c r="D75" i="7" s="1"/>
  <c r="D79" i="7"/>
  <c r="D78" i="7"/>
  <c r="D86" i="7"/>
  <c r="D92" i="7" s="1"/>
  <c r="E88" i="7"/>
  <c r="E82" i="7"/>
  <c r="F82" i="7" s="1"/>
  <c r="D70" i="6"/>
  <c r="D82" i="6" s="1"/>
  <c r="D69" i="6"/>
  <c r="D81" i="6" s="1"/>
  <c r="D71" i="6"/>
  <c r="D77" i="6" s="1"/>
  <c r="E84" i="6"/>
  <c r="E70" i="6"/>
  <c r="F64" i="6"/>
  <c r="E69" i="6"/>
  <c r="E74" i="6"/>
  <c r="E71" i="6"/>
  <c r="M68" i="6"/>
  <c r="D78" i="6"/>
  <c r="E78" i="6" s="1"/>
  <c r="D84" i="6"/>
  <c r="K67" i="6"/>
  <c r="J74" i="6"/>
  <c r="D86" i="6"/>
  <c r="D80" i="6"/>
  <c r="D79" i="6"/>
  <c r="D83" i="6"/>
  <c r="E73" i="6"/>
  <c r="E85" i="6" s="1"/>
  <c r="K19" i="4"/>
  <c r="K24" i="4"/>
  <c r="K29" i="4"/>
  <c r="K34" i="4"/>
  <c r="K39" i="4"/>
  <c r="K44" i="4"/>
  <c r="K49" i="4"/>
  <c r="K54" i="4"/>
  <c r="K59" i="4"/>
  <c r="K64" i="4"/>
  <c r="K14" i="4"/>
  <c r="F72" i="4"/>
  <c r="J68" i="4"/>
  <c r="L67" i="4"/>
  <c r="L9" i="4"/>
  <c r="L10" i="4" s="1"/>
  <c r="L11" i="4" s="1"/>
  <c r="L12" i="4" s="1"/>
  <c r="L13" i="4" s="1"/>
  <c r="L14" i="4" s="1"/>
  <c r="L15" i="4" s="1"/>
  <c r="L16" i="4" s="1"/>
  <c r="L17" i="4" s="1"/>
  <c r="L18" i="4" s="1"/>
  <c r="L19" i="4" s="1"/>
  <c r="L20" i="4" s="1"/>
  <c r="L21" i="4" s="1"/>
  <c r="L22" i="4" s="1"/>
  <c r="L23" i="4" s="1"/>
  <c r="L24" i="4" s="1"/>
  <c r="L25" i="4" s="1"/>
  <c r="L26" i="4" s="1"/>
  <c r="L27" i="4" s="1"/>
  <c r="L28" i="4" s="1"/>
  <c r="L29" i="4" s="1"/>
  <c r="L30" i="4" s="1"/>
  <c r="L31" i="4" s="1"/>
  <c r="L32" i="4" s="1"/>
  <c r="L33" i="4" s="1"/>
  <c r="L34" i="4" s="1"/>
  <c r="L35" i="4" s="1"/>
  <c r="L36" i="4" s="1"/>
  <c r="L37" i="4" s="1"/>
  <c r="L38" i="4" s="1"/>
  <c r="L39" i="4" s="1"/>
  <c r="L40" i="4" s="1"/>
  <c r="L41" i="4" s="1"/>
  <c r="L42" i="4" s="1"/>
  <c r="L43" i="4" s="1"/>
  <c r="L44" i="4" s="1"/>
  <c r="L45" i="4" s="1"/>
  <c r="L46" i="4" s="1"/>
  <c r="L47" i="4" s="1"/>
  <c r="L48" i="4" s="1"/>
  <c r="L49" i="4" s="1"/>
  <c r="L50" i="4" s="1"/>
  <c r="L51" i="4" s="1"/>
  <c r="L52" i="4" s="1"/>
  <c r="L53" i="4" s="1"/>
  <c r="L54" i="4" s="1"/>
  <c r="L55" i="4" s="1"/>
  <c r="L56" i="4" s="1"/>
  <c r="L57" i="4" s="1"/>
  <c r="L58" i="4" s="1"/>
  <c r="L59" i="4" s="1"/>
  <c r="L60" i="4" s="1"/>
  <c r="L61" i="4" s="1"/>
  <c r="L62" i="4" s="1"/>
  <c r="L63" i="4" s="1"/>
  <c r="L64" i="4" s="1"/>
  <c r="L65" i="4" s="1"/>
  <c r="L66" i="4" s="1"/>
  <c r="L8" i="4"/>
  <c r="M12" i="4"/>
  <c r="M13" i="4" s="1"/>
  <c r="M14" i="4" s="1"/>
  <c r="M15" i="4" s="1"/>
  <c r="M16" i="4" s="1"/>
  <c r="M17" i="4" s="1"/>
  <c r="M18" i="4" s="1"/>
  <c r="M19" i="4" s="1"/>
  <c r="M20" i="4" s="1"/>
  <c r="M21" i="4" s="1"/>
  <c r="M22" i="4" s="1"/>
  <c r="M23" i="4" s="1"/>
  <c r="M24" i="4" s="1"/>
  <c r="M25" i="4" s="1"/>
  <c r="M26" i="4" s="1"/>
  <c r="M27" i="4" s="1"/>
  <c r="M28" i="4" s="1"/>
  <c r="M29" i="4" s="1"/>
  <c r="M30" i="4" s="1"/>
  <c r="M31" i="4" s="1"/>
  <c r="M32" i="4" s="1"/>
  <c r="M33" i="4" s="1"/>
  <c r="M34" i="4" s="1"/>
  <c r="M35" i="4" s="1"/>
  <c r="M36" i="4" s="1"/>
  <c r="M37" i="4" s="1"/>
  <c r="M38" i="4" s="1"/>
  <c r="M39" i="4" s="1"/>
  <c r="M40" i="4" s="1"/>
  <c r="M41" i="4" s="1"/>
  <c r="M42" i="4" s="1"/>
  <c r="M43" i="4" s="1"/>
  <c r="M44" i="4" s="1"/>
  <c r="M45" i="4" s="1"/>
  <c r="M46" i="4" s="1"/>
  <c r="M47" i="4" s="1"/>
  <c r="M48" i="4" s="1"/>
  <c r="M49" i="4" s="1"/>
  <c r="M50" i="4" s="1"/>
  <c r="M51" i="4" s="1"/>
  <c r="M52" i="4" s="1"/>
  <c r="M53" i="4" s="1"/>
  <c r="M54" i="4" s="1"/>
  <c r="M55" i="4" s="1"/>
  <c r="M56" i="4" s="1"/>
  <c r="M57" i="4" s="1"/>
  <c r="M58" i="4" s="1"/>
  <c r="M59" i="4" s="1"/>
  <c r="M60" i="4" s="1"/>
  <c r="M61" i="4" s="1"/>
  <c r="M62" i="4" s="1"/>
  <c r="M63" i="4" s="1"/>
  <c r="M64" i="4" s="1"/>
  <c r="M65" i="4" s="1"/>
  <c r="M66" i="4" s="1"/>
  <c r="M11" i="4"/>
  <c r="N13" i="4"/>
  <c r="N14" i="4"/>
  <c r="N15" i="4"/>
  <c r="N16" i="4" s="1"/>
  <c r="N17" i="4" s="1"/>
  <c r="N18" i="4" s="1"/>
  <c r="N19" i="4" s="1"/>
  <c r="N20" i="4" s="1"/>
  <c r="N21" i="4" s="1"/>
  <c r="N22" i="4" s="1"/>
  <c r="N23" i="4" s="1"/>
  <c r="N24" i="4" s="1"/>
  <c r="N25" i="4" s="1"/>
  <c r="N26" i="4" s="1"/>
  <c r="N27" i="4" s="1"/>
  <c r="N28" i="4" s="1"/>
  <c r="N29" i="4" s="1"/>
  <c r="N30" i="4" s="1"/>
  <c r="N31" i="4" s="1"/>
  <c r="N32" i="4" s="1"/>
  <c r="N33" i="4" s="1"/>
  <c r="N34" i="4" s="1"/>
  <c r="N35" i="4" s="1"/>
  <c r="N36" i="4" s="1"/>
  <c r="N37" i="4" s="1"/>
  <c r="N38" i="4" s="1"/>
  <c r="N39" i="4" s="1"/>
  <c r="N40" i="4" s="1"/>
  <c r="N41" i="4" s="1"/>
  <c r="N42" i="4" s="1"/>
  <c r="N43" i="4" s="1"/>
  <c r="N44" i="4" s="1"/>
  <c r="N45" i="4" s="1"/>
  <c r="N46" i="4" s="1"/>
  <c r="N47" i="4" s="1"/>
  <c r="N48" i="4" s="1"/>
  <c r="N49" i="4" s="1"/>
  <c r="N50" i="4" s="1"/>
  <c r="N51" i="4" s="1"/>
  <c r="N52" i="4" s="1"/>
  <c r="N53" i="4" s="1"/>
  <c r="N54" i="4" s="1"/>
  <c r="N55" i="4" s="1"/>
  <c r="N56" i="4" s="1"/>
  <c r="N57" i="4" s="1"/>
  <c r="N58" i="4" s="1"/>
  <c r="N59" i="4" s="1"/>
  <c r="N60" i="4" s="1"/>
  <c r="N61" i="4" s="1"/>
  <c r="N62" i="4" s="1"/>
  <c r="N63" i="4" s="1"/>
  <c r="N64" i="4" s="1"/>
  <c r="N65" i="4" s="1"/>
  <c r="N66" i="4" s="1"/>
  <c r="N12" i="4"/>
  <c r="N11" i="4"/>
  <c r="M10" i="4"/>
  <c r="J12" i="4"/>
  <c r="J13" i="4"/>
  <c r="J14" i="4"/>
  <c r="J11" i="4"/>
  <c r="K10" i="4"/>
  <c r="L7" i="4"/>
  <c r="J8" i="4"/>
  <c r="J9" i="4"/>
  <c r="J10" i="4"/>
  <c r="J7" i="4"/>
  <c r="E79" i="7" l="1"/>
  <c r="E86" i="7"/>
  <c r="E78" i="7"/>
  <c r="C93" i="7"/>
  <c r="C89" i="7"/>
  <c r="C90" i="7"/>
  <c r="C91" i="7"/>
  <c r="C92" i="7"/>
  <c r="E75" i="7"/>
  <c r="E83" i="7"/>
  <c r="E89" i="7" s="1"/>
  <c r="G88" i="7"/>
  <c r="G82" i="7"/>
  <c r="F72" i="7"/>
  <c r="G64" i="7"/>
  <c r="F70" i="7"/>
  <c r="F71" i="7"/>
  <c r="F69" i="7"/>
  <c r="F73" i="7"/>
  <c r="F87" i="7" s="1"/>
  <c r="F93" i="7" s="1"/>
  <c r="E92" i="7"/>
  <c r="E93" i="7"/>
  <c r="E84" i="7"/>
  <c r="E90" i="7" s="1"/>
  <c r="E76" i="7"/>
  <c r="E85" i="7"/>
  <c r="E91" i="7" s="1"/>
  <c r="E77" i="7"/>
  <c r="H74" i="7"/>
  <c r="I67" i="7"/>
  <c r="D75" i="6"/>
  <c r="D76" i="6"/>
  <c r="D88" i="6"/>
  <c r="D89" i="6"/>
  <c r="D90" i="6"/>
  <c r="D91" i="6"/>
  <c r="D87" i="6"/>
  <c r="E75" i="6"/>
  <c r="E81" i="6"/>
  <c r="G64" i="6"/>
  <c r="F70" i="6"/>
  <c r="F69" i="6"/>
  <c r="F73" i="6"/>
  <c r="F85" i="6" s="1"/>
  <c r="F71" i="6"/>
  <c r="F72" i="6"/>
  <c r="E79" i="6"/>
  <c r="J86" i="6"/>
  <c r="F74" i="6"/>
  <c r="E82" i="6"/>
  <c r="E76" i="6"/>
  <c r="K74" i="6"/>
  <c r="L67" i="6"/>
  <c r="L74" i="6" s="1"/>
  <c r="E83" i="6"/>
  <c r="E77" i="6"/>
  <c r="E86" i="6"/>
  <c r="E80" i="6"/>
  <c r="C62" i="5"/>
  <c r="D62" i="5" s="1"/>
  <c r="E62" i="5" s="1"/>
  <c r="F62" i="5" s="1"/>
  <c r="G62" i="5" s="1"/>
  <c r="H62" i="5" s="1"/>
  <c r="I62" i="5" s="1"/>
  <c r="C63" i="5"/>
  <c r="D63" i="5" s="1"/>
  <c r="E63" i="5" s="1"/>
  <c r="F63" i="5" s="1"/>
  <c r="G63" i="5" s="1"/>
  <c r="H63" i="5" s="1"/>
  <c r="I63" i="5" s="1"/>
  <c r="C65" i="5"/>
  <c r="D68" i="5"/>
  <c r="C73" i="5"/>
  <c r="B124" i="5"/>
  <c r="B127" i="5"/>
  <c r="C127" i="5" s="1"/>
  <c r="C70" i="5" s="1"/>
  <c r="D70" i="5" s="1"/>
  <c r="E70" i="5" s="1"/>
  <c r="F70" i="5" s="1"/>
  <c r="G70" i="5" s="1"/>
  <c r="H70" i="5" s="1"/>
  <c r="I70" i="5" s="1"/>
  <c r="C84" i="5" l="1"/>
  <c r="C85" i="5"/>
  <c r="C81" i="5"/>
  <c r="D65" i="5"/>
  <c r="E65" i="5" s="1"/>
  <c r="F65" i="5" s="1"/>
  <c r="G65" i="5" s="1"/>
  <c r="H65" i="5" s="1"/>
  <c r="I65" i="5" s="1"/>
  <c r="D73" i="5"/>
  <c r="C80" i="5"/>
  <c r="C77" i="5"/>
  <c r="C87" i="5" s="1"/>
  <c r="C78" i="5"/>
  <c r="C88" i="5" s="1"/>
  <c r="C79" i="5"/>
  <c r="C99" i="5" s="1"/>
  <c r="C91" i="5"/>
  <c r="D67" i="5"/>
  <c r="D82" i="5" s="1"/>
  <c r="C76" i="5"/>
  <c r="C86" i="5" s="1"/>
  <c r="C101" i="5"/>
  <c r="G73" i="7"/>
  <c r="G87" i="7" s="1"/>
  <c r="G93" i="7" s="1"/>
  <c r="G69" i="7"/>
  <c r="G71" i="7"/>
  <c r="G70" i="7"/>
  <c r="H64" i="7"/>
  <c r="G72" i="7"/>
  <c r="H82" i="7"/>
  <c r="H88" i="7"/>
  <c r="F78" i="7"/>
  <c r="F86" i="7"/>
  <c r="F92" i="7" s="1"/>
  <c r="F85" i="7"/>
  <c r="F91" i="7" s="1"/>
  <c r="F77" i="7"/>
  <c r="F79" i="7"/>
  <c r="G79" i="7" s="1"/>
  <c r="F76" i="7"/>
  <c r="F84" i="7"/>
  <c r="F90" i="7" s="1"/>
  <c r="J67" i="7"/>
  <c r="I74" i="7"/>
  <c r="F83" i="7"/>
  <c r="F89" i="7" s="1"/>
  <c r="F75" i="7"/>
  <c r="E89" i="6"/>
  <c r="E90" i="6"/>
  <c r="E91" i="6"/>
  <c r="E88" i="6"/>
  <c r="E87" i="6"/>
  <c r="K86" i="6"/>
  <c r="F80" i="6"/>
  <c r="F86" i="6"/>
  <c r="F79" i="6"/>
  <c r="F81" i="6"/>
  <c r="F75" i="6"/>
  <c r="G74" i="6"/>
  <c r="F84" i="6"/>
  <c r="F78" i="6"/>
  <c r="F76" i="6"/>
  <c r="F82" i="6"/>
  <c r="M67" i="6"/>
  <c r="F83" i="6"/>
  <c r="F77" i="6"/>
  <c r="H64" i="6"/>
  <c r="G72" i="6"/>
  <c r="G70" i="6"/>
  <c r="G73" i="6"/>
  <c r="G85" i="6" s="1"/>
  <c r="G69" i="6"/>
  <c r="G71" i="6"/>
  <c r="L86" i="6"/>
  <c r="M60" i="5"/>
  <c r="C83" i="5"/>
  <c r="M61" i="5"/>
  <c r="M62" i="5"/>
  <c r="E68" i="5"/>
  <c r="M63" i="5"/>
  <c r="M74" i="5"/>
  <c r="G72" i="4"/>
  <c r="H67" i="4"/>
  <c r="G7" i="4"/>
  <c r="C95" i="5" l="1"/>
  <c r="C105" i="5"/>
  <c r="C113" i="5" s="1"/>
  <c r="D84" i="5"/>
  <c r="D85" i="5"/>
  <c r="M65" i="5"/>
  <c r="B255" i="5"/>
  <c r="B256" i="5"/>
  <c r="B253" i="5"/>
  <c r="B257" i="5"/>
  <c r="B254" i="5"/>
  <c r="B252" i="5"/>
  <c r="C104" i="5"/>
  <c r="C94" i="5"/>
  <c r="E73" i="5"/>
  <c r="D104" i="5"/>
  <c r="C98" i="5"/>
  <c r="C97" i="5"/>
  <c r="C92" i="5"/>
  <c r="C102" i="5"/>
  <c r="D102" i="5"/>
  <c r="D80" i="5"/>
  <c r="D100" i="5" s="1"/>
  <c r="D76" i="5"/>
  <c r="D96" i="5" s="1"/>
  <c r="D77" i="5"/>
  <c r="D87" i="5" s="1"/>
  <c r="D78" i="5"/>
  <c r="D88" i="5" s="1"/>
  <c r="D81" i="5"/>
  <c r="D91" i="5" s="1"/>
  <c r="C90" i="5"/>
  <c r="C100" i="5"/>
  <c r="D79" i="5"/>
  <c r="D99" i="5" s="1"/>
  <c r="C96" i="5"/>
  <c r="E67" i="5"/>
  <c r="D97" i="5"/>
  <c r="C89" i="5"/>
  <c r="D89" i="5" s="1"/>
  <c r="J74" i="7"/>
  <c r="K67" i="7"/>
  <c r="G84" i="7"/>
  <c r="G90" i="7" s="1"/>
  <c r="G76" i="7"/>
  <c r="G85" i="7"/>
  <c r="G91" i="7" s="1"/>
  <c r="G77" i="7"/>
  <c r="I88" i="7"/>
  <c r="I82" i="7"/>
  <c r="G86" i="7"/>
  <c r="G92" i="7" s="1"/>
  <c r="G78" i="7"/>
  <c r="G83" i="7"/>
  <c r="G89" i="7" s="1"/>
  <c r="G75" i="7"/>
  <c r="H70" i="7"/>
  <c r="H72" i="7"/>
  <c r="I64" i="7"/>
  <c r="H73" i="7"/>
  <c r="H87" i="7" s="1"/>
  <c r="H93" i="7" s="1"/>
  <c r="H69" i="7"/>
  <c r="H71" i="7"/>
  <c r="G83" i="6"/>
  <c r="G77" i="6"/>
  <c r="H70" i="6"/>
  <c r="I64" i="6"/>
  <c r="H72" i="6"/>
  <c r="H69" i="6"/>
  <c r="H73" i="6"/>
  <c r="H85" i="6" s="1"/>
  <c r="H71" i="6"/>
  <c r="H74" i="6"/>
  <c r="I74" i="6"/>
  <c r="M66" i="6"/>
  <c r="M74" i="6" s="1"/>
  <c r="G79" i="6"/>
  <c r="G78" i="6"/>
  <c r="G84" i="6"/>
  <c r="G81" i="6"/>
  <c r="G75" i="6"/>
  <c r="G82" i="6"/>
  <c r="G76" i="6"/>
  <c r="G86" i="6"/>
  <c r="G80" i="6"/>
  <c r="F90" i="6"/>
  <c r="F91" i="6"/>
  <c r="F87" i="6"/>
  <c r="F88" i="6"/>
  <c r="F89" i="6"/>
  <c r="F68" i="5"/>
  <c r="C103" i="5"/>
  <c r="C93" i="5"/>
  <c r="D83" i="5"/>
  <c r="R9" i="4"/>
  <c r="R10" i="4"/>
  <c r="R11" i="4"/>
  <c r="R12" i="4" s="1"/>
  <c r="R13" i="4" s="1"/>
  <c r="R14" i="4" s="1"/>
  <c r="R15" i="4" s="1"/>
  <c r="R16" i="4" s="1"/>
  <c r="R17" i="4" s="1"/>
  <c r="R18" i="4" s="1"/>
  <c r="R19" i="4" s="1"/>
  <c r="R20" i="4" s="1"/>
  <c r="R21" i="4" s="1"/>
  <c r="R22" i="4" s="1"/>
  <c r="R23" i="4" s="1"/>
  <c r="R24" i="4" s="1"/>
  <c r="R25" i="4" s="1"/>
  <c r="R26" i="4" s="1"/>
  <c r="R27" i="4" s="1"/>
  <c r="R28" i="4" s="1"/>
  <c r="R29" i="4" s="1"/>
  <c r="R30" i="4" s="1"/>
  <c r="R31" i="4" s="1"/>
  <c r="R32" i="4" s="1"/>
  <c r="R33" i="4" s="1"/>
  <c r="R34" i="4" s="1"/>
  <c r="R35" i="4" s="1"/>
  <c r="R36" i="4" s="1"/>
  <c r="R37" i="4" s="1"/>
  <c r="R38" i="4" s="1"/>
  <c r="R39" i="4" s="1"/>
  <c r="R40" i="4" s="1"/>
  <c r="R41" i="4" s="1"/>
  <c r="R42" i="4" s="1"/>
  <c r="R43" i="4" s="1"/>
  <c r="R44" i="4" s="1"/>
  <c r="R45" i="4" s="1"/>
  <c r="R46" i="4" s="1"/>
  <c r="R47" i="4" s="1"/>
  <c r="R48" i="4" s="1"/>
  <c r="R49" i="4" s="1"/>
  <c r="R50" i="4" s="1"/>
  <c r="R51" i="4" s="1"/>
  <c r="R52" i="4" s="1"/>
  <c r="R53" i="4" s="1"/>
  <c r="R54" i="4" s="1"/>
  <c r="R55" i="4" s="1"/>
  <c r="R56" i="4" s="1"/>
  <c r="R57" i="4" s="1"/>
  <c r="R58" i="4" s="1"/>
  <c r="R59" i="4" s="1"/>
  <c r="R60" i="4" s="1"/>
  <c r="R61" i="4" s="1"/>
  <c r="R62" i="4" s="1"/>
  <c r="R63" i="4" s="1"/>
  <c r="R64" i="4" s="1"/>
  <c r="R65" i="4" s="1"/>
  <c r="R66" i="4" s="1"/>
  <c r="R67" i="4" s="1"/>
  <c r="R8" i="4"/>
  <c r="D95" i="5" l="1"/>
  <c r="D105" i="5"/>
  <c r="E84" i="5"/>
  <c r="E104" i="5" s="1"/>
  <c r="E85" i="5"/>
  <c r="C114" i="5"/>
  <c r="C253" i="5"/>
  <c r="C256" i="5"/>
  <c r="C252" i="5"/>
  <c r="C257" i="5"/>
  <c r="D114" i="5"/>
  <c r="C254" i="5"/>
  <c r="F67" i="5"/>
  <c r="F82" i="5" s="1"/>
  <c r="F102" i="5" s="1"/>
  <c r="E82" i="5"/>
  <c r="E102" i="5" s="1"/>
  <c r="C255" i="5"/>
  <c r="F73" i="5"/>
  <c r="D94" i="5"/>
  <c r="D86" i="5"/>
  <c r="D92" i="5"/>
  <c r="C110" i="5"/>
  <c r="C112" i="5"/>
  <c r="D98" i="5"/>
  <c r="F80" i="5"/>
  <c r="E80" i="5"/>
  <c r="E76" i="5"/>
  <c r="D252" i="5" s="1"/>
  <c r="E79" i="5"/>
  <c r="E78" i="5"/>
  <c r="E81" i="5"/>
  <c r="E77" i="5"/>
  <c r="D101" i="5"/>
  <c r="D90" i="5"/>
  <c r="H83" i="7"/>
  <c r="H89" i="7" s="1"/>
  <c r="H75" i="7"/>
  <c r="H76" i="7"/>
  <c r="H84" i="7"/>
  <c r="H90" i="7" s="1"/>
  <c r="H79" i="7"/>
  <c r="I71" i="7"/>
  <c r="I73" i="7"/>
  <c r="I87" i="7" s="1"/>
  <c r="I93" i="7" s="1"/>
  <c r="I69" i="7"/>
  <c r="I70" i="7"/>
  <c r="J64" i="7"/>
  <c r="I72" i="7"/>
  <c r="L67" i="7"/>
  <c r="K74" i="7"/>
  <c r="H85" i="7"/>
  <c r="H91" i="7" s="1"/>
  <c r="H77" i="7"/>
  <c r="H78" i="7"/>
  <c r="H86" i="7"/>
  <c r="H92" i="7" s="1"/>
  <c r="J82" i="7"/>
  <c r="J88" i="7"/>
  <c r="H83" i="6"/>
  <c r="H77" i="6"/>
  <c r="J64" i="6"/>
  <c r="I73" i="6"/>
  <c r="I85" i="6" s="1"/>
  <c r="I70" i="6"/>
  <c r="I71" i="6"/>
  <c r="I69" i="6"/>
  <c r="I72" i="6"/>
  <c r="I86" i="6"/>
  <c r="H82" i="6"/>
  <c r="H76" i="6"/>
  <c r="G91" i="6"/>
  <c r="G87" i="6"/>
  <c r="G88" i="6"/>
  <c r="G89" i="6"/>
  <c r="G90" i="6"/>
  <c r="H86" i="6"/>
  <c r="H80" i="6"/>
  <c r="I80" i="6" s="1"/>
  <c r="J80" i="6" s="1"/>
  <c r="K80" i="6" s="1"/>
  <c r="L80" i="6" s="1"/>
  <c r="M80" i="6" s="1"/>
  <c r="H75" i="6"/>
  <c r="H81" i="6"/>
  <c r="H79" i="6"/>
  <c r="H78" i="6"/>
  <c r="H84" i="6"/>
  <c r="C108" i="5"/>
  <c r="C106" i="5"/>
  <c r="C107" i="5"/>
  <c r="C109" i="5"/>
  <c r="C111" i="5"/>
  <c r="D93" i="5"/>
  <c r="D103" i="5"/>
  <c r="G68" i="5"/>
  <c r="E83" i="5"/>
  <c r="C41" i="2"/>
  <c r="D113" i="5" l="1"/>
  <c r="F79" i="5"/>
  <c r="E255" i="5" s="1"/>
  <c r="E95" i="5"/>
  <c r="E105" i="5"/>
  <c r="F84" i="5"/>
  <c r="F104" i="5" s="1"/>
  <c r="F114" i="5" s="1"/>
  <c r="F85" i="5"/>
  <c r="F78" i="5"/>
  <c r="E254" i="5" s="1"/>
  <c r="F77" i="5"/>
  <c r="E253" i="5" s="1"/>
  <c r="F76" i="5"/>
  <c r="E252" i="5" s="1"/>
  <c r="G67" i="5"/>
  <c r="G82" i="5" s="1"/>
  <c r="G102" i="5" s="1"/>
  <c r="F81" i="5"/>
  <c r="F101" i="5" s="1"/>
  <c r="E100" i="5"/>
  <c r="D256" i="5"/>
  <c r="E89" i="5"/>
  <c r="F89" i="5" s="1"/>
  <c r="D255" i="5"/>
  <c r="E101" i="5"/>
  <c r="D257" i="5"/>
  <c r="E98" i="5"/>
  <c r="D254" i="5"/>
  <c r="E87" i="5"/>
  <c r="D253" i="5"/>
  <c r="F100" i="5"/>
  <c r="E256" i="5"/>
  <c r="E114" i="5"/>
  <c r="E94" i="5"/>
  <c r="G73" i="5"/>
  <c r="E86" i="5"/>
  <c r="F86" i="5" s="1"/>
  <c r="E96" i="5"/>
  <c r="E99" i="5"/>
  <c r="E97" i="5"/>
  <c r="E88" i="5"/>
  <c r="E91" i="5"/>
  <c r="E92" i="5"/>
  <c r="F92" i="5" s="1"/>
  <c r="D110" i="5"/>
  <c r="D112" i="5"/>
  <c r="E90" i="5"/>
  <c r="F90" i="5" s="1"/>
  <c r="G81" i="5"/>
  <c r="G77" i="5"/>
  <c r="F253" i="5" s="1"/>
  <c r="I79" i="7"/>
  <c r="I85" i="7"/>
  <c r="I91" i="7" s="1"/>
  <c r="I77" i="7"/>
  <c r="K88" i="7"/>
  <c r="K82" i="7"/>
  <c r="L74" i="7"/>
  <c r="M67" i="7"/>
  <c r="M74" i="7" s="1"/>
  <c r="I75" i="7"/>
  <c r="I83" i="7"/>
  <c r="I89" i="7" s="1"/>
  <c r="I86" i="7"/>
  <c r="I92" i="7" s="1"/>
  <c r="I78" i="7"/>
  <c r="J72" i="7"/>
  <c r="K64" i="7"/>
  <c r="J70" i="7"/>
  <c r="J73" i="7"/>
  <c r="J87" i="7" s="1"/>
  <c r="J93" i="7" s="1"/>
  <c r="J69" i="7"/>
  <c r="J71" i="7"/>
  <c r="I84" i="7"/>
  <c r="I90" i="7" s="1"/>
  <c r="I76" i="7"/>
  <c r="I79" i="6"/>
  <c r="I82" i="6"/>
  <c r="I76" i="6"/>
  <c r="H88" i="6"/>
  <c r="H89" i="6"/>
  <c r="H90" i="6"/>
  <c r="H91" i="6"/>
  <c r="H87" i="6"/>
  <c r="I75" i="6"/>
  <c r="I81" i="6"/>
  <c r="I87" i="6" s="1"/>
  <c r="J72" i="6"/>
  <c r="J73" i="6"/>
  <c r="J85" i="6" s="1"/>
  <c r="J91" i="6" s="1"/>
  <c r="J69" i="6"/>
  <c r="K64" i="6"/>
  <c r="J71" i="6"/>
  <c r="J70" i="6"/>
  <c r="I91" i="6"/>
  <c r="I88" i="6"/>
  <c r="I83" i="6"/>
  <c r="I89" i="6" s="1"/>
  <c r="I77" i="6"/>
  <c r="I84" i="6"/>
  <c r="I90" i="6" s="1"/>
  <c r="I78" i="6"/>
  <c r="D109" i="5"/>
  <c r="D106" i="5"/>
  <c r="D107" i="5"/>
  <c r="D108" i="5"/>
  <c r="D111" i="5"/>
  <c r="H68" i="5"/>
  <c r="E93" i="5"/>
  <c r="E103" i="5"/>
  <c r="F83" i="5"/>
  <c r="F99" i="5"/>
  <c r="D21" i="2"/>
  <c r="E21" i="2"/>
  <c r="F21" i="2"/>
  <c r="G21" i="2"/>
  <c r="H21" i="2"/>
  <c r="I21" i="2"/>
  <c r="C21" i="2"/>
  <c r="D24" i="1"/>
  <c r="E24" i="1"/>
  <c r="F24" i="1"/>
  <c r="G24" i="1"/>
  <c r="H24" i="1"/>
  <c r="I24" i="1"/>
  <c r="C24" i="1"/>
  <c r="C28" i="1" s="1"/>
  <c r="C41" i="1" s="1"/>
  <c r="C35" i="2"/>
  <c r="D35" i="2" s="1"/>
  <c r="E35" i="2" s="1"/>
  <c r="F35" i="2" s="1"/>
  <c r="G35" i="2" s="1"/>
  <c r="H35" i="2" s="1"/>
  <c r="I35" i="2" s="1"/>
  <c r="D35" i="1"/>
  <c r="E35" i="1"/>
  <c r="F35" i="1"/>
  <c r="G35" i="1"/>
  <c r="H35" i="1"/>
  <c r="I35" i="1"/>
  <c r="C35" i="1"/>
  <c r="C37" i="2"/>
  <c r="C36" i="1"/>
  <c r="G76" i="5" l="1"/>
  <c r="F252" i="5" s="1"/>
  <c r="F87" i="5"/>
  <c r="G87" i="5" s="1"/>
  <c r="E113" i="5"/>
  <c r="F97" i="5"/>
  <c r="G84" i="5"/>
  <c r="G85" i="5"/>
  <c r="F105" i="5"/>
  <c r="F113" i="5" s="1"/>
  <c r="F95" i="5"/>
  <c r="F91" i="5"/>
  <c r="G91" i="5" s="1"/>
  <c r="E257" i="5"/>
  <c r="F96" i="5"/>
  <c r="F98" i="5"/>
  <c r="F88" i="5"/>
  <c r="G79" i="5"/>
  <c r="F255" i="5" s="1"/>
  <c r="G80" i="5"/>
  <c r="G100" i="5" s="1"/>
  <c r="H67" i="5"/>
  <c r="H82" i="5" s="1"/>
  <c r="H102" i="5" s="1"/>
  <c r="G78" i="5"/>
  <c r="F254" i="5" s="1"/>
  <c r="G101" i="5"/>
  <c r="F257" i="5"/>
  <c r="F94" i="5"/>
  <c r="H73" i="5"/>
  <c r="G104" i="5"/>
  <c r="G114" i="5" s="1"/>
  <c r="C38" i="1"/>
  <c r="G92" i="5"/>
  <c r="E110" i="5"/>
  <c r="E112" i="5"/>
  <c r="H81" i="5"/>
  <c r="G257" i="5" s="1"/>
  <c r="H78" i="5"/>
  <c r="G254" i="5" s="1"/>
  <c r="I67" i="5"/>
  <c r="I82" i="5" s="1"/>
  <c r="J79" i="7"/>
  <c r="J75" i="7"/>
  <c r="J83" i="7"/>
  <c r="J89" i="7" s="1"/>
  <c r="J78" i="7"/>
  <c r="J86" i="7"/>
  <c r="J92" i="7" s="1"/>
  <c r="J76" i="7"/>
  <c r="J84" i="7"/>
  <c r="J90" i="7" s="1"/>
  <c r="L82" i="7"/>
  <c r="M82" i="7" s="1"/>
  <c r="L88" i="7"/>
  <c r="J85" i="7"/>
  <c r="J91" i="7" s="1"/>
  <c r="J77" i="7"/>
  <c r="K73" i="7"/>
  <c r="K87" i="7" s="1"/>
  <c r="K93" i="7" s="1"/>
  <c r="K69" i="7"/>
  <c r="K71" i="7"/>
  <c r="K72" i="7"/>
  <c r="K70" i="7"/>
  <c r="L64" i="7"/>
  <c r="J76" i="6"/>
  <c r="J82" i="6"/>
  <c r="J88" i="6" s="1"/>
  <c r="J83" i="6"/>
  <c r="J89" i="6" s="1"/>
  <c r="J77" i="6"/>
  <c r="J78" i="6"/>
  <c r="J84" i="6"/>
  <c r="J90" i="6" s="1"/>
  <c r="J79" i="6"/>
  <c r="K73" i="6"/>
  <c r="K85" i="6" s="1"/>
  <c r="K91" i="6" s="1"/>
  <c r="K69" i="6"/>
  <c r="K70" i="6"/>
  <c r="L64" i="6"/>
  <c r="M64" i="6" s="1"/>
  <c r="K71" i="6"/>
  <c r="K72" i="6"/>
  <c r="J81" i="6"/>
  <c r="J87" i="6" s="1"/>
  <c r="J75" i="6"/>
  <c r="G83" i="5"/>
  <c r="E106" i="5"/>
  <c r="E111" i="5"/>
  <c r="E107" i="5"/>
  <c r="E109" i="5"/>
  <c r="E108" i="5"/>
  <c r="G86" i="5"/>
  <c r="G96" i="5"/>
  <c r="F93" i="5"/>
  <c r="F103" i="5"/>
  <c r="G97" i="5"/>
  <c r="I68" i="5"/>
  <c r="D7" i="4"/>
  <c r="F7" i="4"/>
  <c r="D8" i="4"/>
  <c r="D68" i="4" s="1"/>
  <c r="F8" i="4"/>
  <c r="O8" i="4"/>
  <c r="P8" i="4"/>
  <c r="D9" i="4"/>
  <c r="F9" i="4"/>
  <c r="O9" i="4"/>
  <c r="P9" i="4"/>
  <c r="D10" i="4"/>
  <c r="F10" i="4"/>
  <c r="O10" i="4"/>
  <c r="P10" i="4"/>
  <c r="D11" i="4"/>
  <c r="F11" i="4"/>
  <c r="O11" i="4"/>
  <c r="P11" i="4"/>
  <c r="D12" i="4"/>
  <c r="F12" i="4"/>
  <c r="O12" i="4"/>
  <c r="P12" i="4"/>
  <c r="D13" i="4"/>
  <c r="F13" i="4"/>
  <c r="O13" i="4"/>
  <c r="P13" i="4"/>
  <c r="D14" i="4"/>
  <c r="F14" i="4"/>
  <c r="O14" i="4"/>
  <c r="P14" i="4"/>
  <c r="D15" i="4"/>
  <c r="F15" i="4"/>
  <c r="O15" i="4"/>
  <c r="P15" i="4"/>
  <c r="D16" i="4"/>
  <c r="F16" i="4"/>
  <c r="O16" i="4"/>
  <c r="P16" i="4"/>
  <c r="D17" i="4"/>
  <c r="F17" i="4"/>
  <c r="G17" i="4"/>
  <c r="Q17" i="4" s="1"/>
  <c r="Q18" i="4" s="1"/>
  <c r="Q19" i="4" s="1"/>
  <c r="Q20" i="4" s="1"/>
  <c r="Q21" i="4" s="1"/>
  <c r="Q22" i="4" s="1"/>
  <c r="Q23" i="4" s="1"/>
  <c r="Q24" i="4" s="1"/>
  <c r="Q25" i="4" s="1"/>
  <c r="Q26" i="4" s="1"/>
  <c r="Q27" i="4" s="1"/>
  <c r="Q28" i="4" s="1"/>
  <c r="Q29" i="4" s="1"/>
  <c r="Q30" i="4" s="1"/>
  <c r="Q31" i="4" s="1"/>
  <c r="Q32" i="4" s="1"/>
  <c r="Q33" i="4" s="1"/>
  <c r="Q34" i="4" s="1"/>
  <c r="Q35" i="4" s="1"/>
  <c r="Q36" i="4" s="1"/>
  <c r="Q37" i="4" s="1"/>
  <c r="Q38" i="4" s="1"/>
  <c r="Q39" i="4" s="1"/>
  <c r="Q40" i="4" s="1"/>
  <c r="Q41" i="4" s="1"/>
  <c r="Q42" i="4" s="1"/>
  <c r="Q43" i="4" s="1"/>
  <c r="Q44" i="4" s="1"/>
  <c r="Q45" i="4" s="1"/>
  <c r="Q46" i="4" s="1"/>
  <c r="Q47" i="4" s="1"/>
  <c r="Q48" i="4" s="1"/>
  <c r="Q49" i="4" s="1"/>
  <c r="Q50" i="4" s="1"/>
  <c r="Q51" i="4" s="1"/>
  <c r="Q52" i="4" s="1"/>
  <c r="Q53" i="4" s="1"/>
  <c r="Q54" i="4" s="1"/>
  <c r="Q55" i="4" s="1"/>
  <c r="Q56" i="4" s="1"/>
  <c r="Q57" i="4" s="1"/>
  <c r="Q58" i="4" s="1"/>
  <c r="Q59" i="4" s="1"/>
  <c r="Q60" i="4" s="1"/>
  <c r="Q61" i="4" s="1"/>
  <c r="Q62" i="4" s="1"/>
  <c r="Q63" i="4" s="1"/>
  <c r="Q64" i="4" s="1"/>
  <c r="Q65" i="4" s="1"/>
  <c r="Q66" i="4" s="1"/>
  <c r="O17" i="4"/>
  <c r="O18" i="4" s="1"/>
  <c r="P17" i="4"/>
  <c r="P18" i="4" s="1"/>
  <c r="D18" i="4"/>
  <c r="F18" i="4"/>
  <c r="D19" i="4"/>
  <c r="F19" i="4"/>
  <c r="O19" i="4"/>
  <c r="O20" i="4" s="1"/>
  <c r="P19" i="4"/>
  <c r="P20" i="4" s="1"/>
  <c r="D20" i="4"/>
  <c r="F20" i="4"/>
  <c r="D21" i="4"/>
  <c r="F21" i="4"/>
  <c r="O21" i="4"/>
  <c r="O22" i="4" s="1"/>
  <c r="P21" i="4"/>
  <c r="P22" i="4" s="1"/>
  <c r="D22" i="4"/>
  <c r="F22" i="4"/>
  <c r="D23" i="4"/>
  <c r="F23" i="4"/>
  <c r="O23" i="4"/>
  <c r="O24" i="4" s="1"/>
  <c r="P23" i="4"/>
  <c r="P24" i="4" s="1"/>
  <c r="D24" i="4"/>
  <c r="F24" i="4"/>
  <c r="D25" i="4"/>
  <c r="F25" i="4"/>
  <c r="O25" i="4"/>
  <c r="O26" i="4" s="1"/>
  <c r="P25" i="4"/>
  <c r="P26" i="4" s="1"/>
  <c r="D26" i="4"/>
  <c r="F26" i="4"/>
  <c r="D27" i="4"/>
  <c r="F27" i="4"/>
  <c r="O27" i="4"/>
  <c r="O28" i="4" s="1"/>
  <c r="P27" i="4"/>
  <c r="P28" i="4" s="1"/>
  <c r="D28" i="4"/>
  <c r="F28" i="4"/>
  <c r="D29" i="4"/>
  <c r="F29" i="4"/>
  <c r="O29" i="4"/>
  <c r="O30" i="4" s="1"/>
  <c r="P29" i="4"/>
  <c r="P30" i="4" s="1"/>
  <c r="D30" i="4"/>
  <c r="F30" i="4"/>
  <c r="D31" i="4"/>
  <c r="F31" i="4"/>
  <c r="O31" i="4"/>
  <c r="O32" i="4" s="1"/>
  <c r="P31" i="4"/>
  <c r="P32" i="4" s="1"/>
  <c r="D32" i="4"/>
  <c r="F32" i="4"/>
  <c r="D33" i="4"/>
  <c r="F33" i="4"/>
  <c r="O33" i="4"/>
  <c r="O34" i="4" s="1"/>
  <c r="P33" i="4"/>
  <c r="P34" i="4" s="1"/>
  <c r="D34" i="4"/>
  <c r="F34" i="4"/>
  <c r="D35" i="4"/>
  <c r="F35" i="4"/>
  <c r="O35" i="4"/>
  <c r="O36" i="4" s="1"/>
  <c r="P35" i="4"/>
  <c r="P36" i="4" s="1"/>
  <c r="D36" i="4"/>
  <c r="F36" i="4"/>
  <c r="D37" i="4"/>
  <c r="F37" i="4"/>
  <c r="O37" i="4"/>
  <c r="O38" i="4" s="1"/>
  <c r="P37" i="4"/>
  <c r="P38" i="4" s="1"/>
  <c r="D38" i="4"/>
  <c r="F38" i="4"/>
  <c r="D39" i="4"/>
  <c r="F39" i="4"/>
  <c r="O39" i="4"/>
  <c r="O40" i="4" s="1"/>
  <c r="P39" i="4"/>
  <c r="P40" i="4" s="1"/>
  <c r="D40" i="4"/>
  <c r="F40" i="4"/>
  <c r="D41" i="4"/>
  <c r="F41" i="4"/>
  <c r="O41" i="4"/>
  <c r="O42" i="4" s="1"/>
  <c r="P41" i="4"/>
  <c r="P42" i="4" s="1"/>
  <c r="D42" i="4"/>
  <c r="F42" i="4"/>
  <c r="D43" i="4"/>
  <c r="F43" i="4"/>
  <c r="O43" i="4"/>
  <c r="O44" i="4" s="1"/>
  <c r="P43" i="4"/>
  <c r="P44" i="4" s="1"/>
  <c r="D44" i="4"/>
  <c r="F44" i="4"/>
  <c r="D45" i="4"/>
  <c r="F45" i="4"/>
  <c r="O45" i="4"/>
  <c r="O46" i="4" s="1"/>
  <c r="P45" i="4"/>
  <c r="P46" i="4" s="1"/>
  <c r="D46" i="4"/>
  <c r="F46" i="4"/>
  <c r="D47" i="4"/>
  <c r="F47" i="4"/>
  <c r="O47" i="4"/>
  <c r="O48" i="4" s="1"/>
  <c r="P47" i="4"/>
  <c r="P48" i="4" s="1"/>
  <c r="D48" i="4"/>
  <c r="F48" i="4"/>
  <c r="D49" i="4"/>
  <c r="F49" i="4"/>
  <c r="O49" i="4"/>
  <c r="O50" i="4" s="1"/>
  <c r="P49" i="4"/>
  <c r="P50" i="4" s="1"/>
  <c r="D50" i="4"/>
  <c r="F50" i="4"/>
  <c r="D51" i="4"/>
  <c r="F51" i="4"/>
  <c r="O51" i="4"/>
  <c r="O52" i="4" s="1"/>
  <c r="O53" i="4" s="1"/>
  <c r="O54" i="4" s="1"/>
  <c r="O55" i="4" s="1"/>
  <c r="O56" i="4" s="1"/>
  <c r="O57" i="4" s="1"/>
  <c r="O58" i="4" s="1"/>
  <c r="O59" i="4" s="1"/>
  <c r="O60" i="4" s="1"/>
  <c r="O61" i="4" s="1"/>
  <c r="O62" i="4" s="1"/>
  <c r="O63" i="4" s="1"/>
  <c r="O64" i="4" s="1"/>
  <c r="O65" i="4" s="1"/>
  <c r="P51" i="4"/>
  <c r="D52" i="4"/>
  <c r="F52" i="4"/>
  <c r="P52" i="4"/>
  <c r="D53" i="4"/>
  <c r="F53" i="4"/>
  <c r="P53" i="4"/>
  <c r="D54" i="4"/>
  <c r="F54" i="4"/>
  <c r="P54" i="4"/>
  <c r="P55" i="4" s="1"/>
  <c r="P56" i="4" s="1"/>
  <c r="P57" i="4" s="1"/>
  <c r="P58" i="4" s="1"/>
  <c r="P59" i="4" s="1"/>
  <c r="P60" i="4" s="1"/>
  <c r="P61" i="4" s="1"/>
  <c r="P62" i="4" s="1"/>
  <c r="P63" i="4" s="1"/>
  <c r="P64" i="4" s="1"/>
  <c r="P65" i="4" s="1"/>
  <c r="D55" i="4"/>
  <c r="F55" i="4"/>
  <c r="D56" i="4"/>
  <c r="F56" i="4"/>
  <c r="D57" i="4"/>
  <c r="F57" i="4"/>
  <c r="D58" i="4"/>
  <c r="F58" i="4"/>
  <c r="D59" i="4"/>
  <c r="F59" i="4"/>
  <c r="D60" i="4"/>
  <c r="F60" i="4"/>
  <c r="D61" i="4"/>
  <c r="F61" i="4"/>
  <c r="D62" i="4"/>
  <c r="F62" i="4"/>
  <c r="D63" i="4"/>
  <c r="F63" i="4"/>
  <c r="D64" i="4"/>
  <c r="F64" i="4"/>
  <c r="D65" i="4"/>
  <c r="F65" i="4"/>
  <c r="D66" i="4"/>
  <c r="F66" i="4"/>
  <c r="B67" i="4"/>
  <c r="F67" i="4"/>
  <c r="G67" i="4"/>
  <c r="G68" i="4" s="1"/>
  <c r="G90" i="5" l="1"/>
  <c r="F256" i="5"/>
  <c r="H84" i="5"/>
  <c r="H104" i="5" s="1"/>
  <c r="H114" i="5" s="1"/>
  <c r="H85" i="5"/>
  <c r="H105" i="5" s="1"/>
  <c r="G105" i="5"/>
  <c r="G113" i="5" s="1"/>
  <c r="G95" i="5"/>
  <c r="G89" i="5"/>
  <c r="H77" i="5"/>
  <c r="G253" i="5" s="1"/>
  <c r="H80" i="5"/>
  <c r="G256" i="5" s="1"/>
  <c r="G88" i="5"/>
  <c r="H88" i="5" s="1"/>
  <c r="H79" i="5"/>
  <c r="G255" i="5" s="1"/>
  <c r="H76" i="5"/>
  <c r="G252" i="5" s="1"/>
  <c r="G98" i="5"/>
  <c r="G99" i="5"/>
  <c r="H101" i="5"/>
  <c r="G94" i="5"/>
  <c r="I73" i="5"/>
  <c r="H92" i="5"/>
  <c r="F110" i="5"/>
  <c r="F112" i="5"/>
  <c r="I102" i="5"/>
  <c r="I80" i="5"/>
  <c r="I76" i="5"/>
  <c r="H252" i="5" s="1"/>
  <c r="I78" i="5"/>
  <c r="H254" i="5" s="1"/>
  <c r="I81" i="5"/>
  <c r="I77" i="5"/>
  <c r="H253" i="5" s="1"/>
  <c r="I79" i="5"/>
  <c r="H255" i="5" s="1"/>
  <c r="J67" i="5"/>
  <c r="J82" i="5" s="1"/>
  <c r="K79" i="7"/>
  <c r="K85" i="7"/>
  <c r="K91" i="7" s="1"/>
  <c r="K77" i="7"/>
  <c r="L70" i="7"/>
  <c r="L72" i="7"/>
  <c r="L69" i="7"/>
  <c r="L71" i="7"/>
  <c r="L73" i="7"/>
  <c r="L87" i="7" s="1"/>
  <c r="L93" i="7" s="1"/>
  <c r="M64" i="7"/>
  <c r="K83" i="7"/>
  <c r="K89" i="7" s="1"/>
  <c r="K75" i="7"/>
  <c r="K84" i="7"/>
  <c r="K90" i="7" s="1"/>
  <c r="K76" i="7"/>
  <c r="K86" i="7"/>
  <c r="K92" i="7" s="1"/>
  <c r="K78" i="7"/>
  <c r="K79" i="6"/>
  <c r="M70" i="6"/>
  <c r="M88" i="6" s="1"/>
  <c r="M73" i="6"/>
  <c r="M91" i="6" s="1"/>
  <c r="M69" i="6"/>
  <c r="M87" i="6" s="1"/>
  <c r="M72" i="6"/>
  <c r="M90" i="6" s="1"/>
  <c r="M71" i="6"/>
  <c r="M89" i="6" s="1"/>
  <c r="K82" i="6"/>
  <c r="K88" i="6" s="1"/>
  <c r="K76" i="6"/>
  <c r="K83" i="6"/>
  <c r="K89" i="6" s="1"/>
  <c r="K77" i="6"/>
  <c r="L70" i="6"/>
  <c r="L71" i="6"/>
  <c r="L72" i="6"/>
  <c r="L73" i="6"/>
  <c r="L85" i="6" s="1"/>
  <c r="L91" i="6" s="1"/>
  <c r="L69" i="6"/>
  <c r="K78" i="6"/>
  <c r="K84" i="6"/>
  <c r="K90" i="6" s="1"/>
  <c r="K81" i="6"/>
  <c r="K87" i="6" s="1"/>
  <c r="K75" i="6"/>
  <c r="H87" i="5"/>
  <c r="H97" i="5"/>
  <c r="F107" i="5"/>
  <c r="F106" i="5"/>
  <c r="F108" i="5"/>
  <c r="F111" i="5"/>
  <c r="F109" i="5"/>
  <c r="H83" i="5"/>
  <c r="G103" i="5"/>
  <c r="G93" i="5"/>
  <c r="H98" i="5"/>
  <c r="H91" i="5"/>
  <c r="H86" i="5"/>
  <c r="H96" i="5"/>
  <c r="J68" i="5"/>
  <c r="F70" i="4"/>
  <c r="F71" i="4" s="1"/>
  <c r="B2" i="3"/>
  <c r="B3" i="3"/>
  <c r="A5" i="3"/>
  <c r="A6" i="3" s="1"/>
  <c r="K19" i="3"/>
  <c r="K18" i="3" s="1"/>
  <c r="E23" i="3"/>
  <c r="G23" i="3" s="1"/>
  <c r="F23" i="3"/>
  <c r="K23" i="3"/>
  <c r="M23" i="3"/>
  <c r="T23" i="3"/>
  <c r="R23" i="3" s="1"/>
  <c r="F24" i="3"/>
  <c r="K24" i="3"/>
  <c r="M24" i="3" s="1"/>
  <c r="P24" i="3" s="1"/>
  <c r="T24" i="3"/>
  <c r="R24" i="3" s="1"/>
  <c r="U24" i="3"/>
  <c r="I24" i="3" s="1"/>
  <c r="K25" i="3"/>
  <c r="M25" i="3" s="1"/>
  <c r="P25" i="3" s="1"/>
  <c r="T25" i="3"/>
  <c r="R25" i="3" s="1"/>
  <c r="U25" i="3"/>
  <c r="K26" i="3"/>
  <c r="M26" i="3" s="1"/>
  <c r="P26" i="3" s="1"/>
  <c r="T26" i="3"/>
  <c r="R26" i="3" s="1"/>
  <c r="U26" i="3"/>
  <c r="K27" i="3"/>
  <c r="M27" i="3" s="1"/>
  <c r="P27" i="3" s="1"/>
  <c r="T27" i="3"/>
  <c r="R27" i="3" s="1"/>
  <c r="U27" i="3"/>
  <c r="K28" i="3"/>
  <c r="M28" i="3" s="1"/>
  <c r="P28" i="3" s="1"/>
  <c r="T28" i="3"/>
  <c r="R28" i="3" s="1"/>
  <c r="U28" i="3"/>
  <c r="K29" i="3"/>
  <c r="M29" i="3" s="1"/>
  <c r="P29" i="3" s="1"/>
  <c r="T29" i="3"/>
  <c r="R29" i="3" s="1"/>
  <c r="U29" i="3"/>
  <c r="K30" i="3"/>
  <c r="M30" i="3" s="1"/>
  <c r="P30" i="3" s="1"/>
  <c r="T30" i="3"/>
  <c r="R30" i="3" s="1"/>
  <c r="U30" i="3"/>
  <c r="K31" i="3"/>
  <c r="M31" i="3" s="1"/>
  <c r="P31" i="3" s="1"/>
  <c r="T31" i="3"/>
  <c r="R31" i="3" s="1"/>
  <c r="U31" i="3"/>
  <c r="K32" i="3"/>
  <c r="M32" i="3" s="1"/>
  <c r="P32" i="3" s="1"/>
  <c r="T32" i="3"/>
  <c r="R32" i="3" s="1"/>
  <c r="U32" i="3"/>
  <c r="K33" i="3"/>
  <c r="M33" i="3" s="1"/>
  <c r="P33" i="3" s="1"/>
  <c r="T33" i="3"/>
  <c r="R33" i="3" s="1"/>
  <c r="U33" i="3"/>
  <c r="E34" i="3"/>
  <c r="G34" i="3" s="1"/>
  <c r="F34" i="3"/>
  <c r="K34" i="3"/>
  <c r="M34" i="3"/>
  <c r="T34" i="3"/>
  <c r="U34" i="3" s="1"/>
  <c r="I34" i="3" s="1"/>
  <c r="H89" i="5" l="1"/>
  <c r="H99" i="5"/>
  <c r="H113" i="5"/>
  <c r="H95" i="5"/>
  <c r="I84" i="5"/>
  <c r="I104" i="5" s="1"/>
  <c r="I114" i="5" s="1"/>
  <c r="I85" i="5"/>
  <c r="I105" i="5" s="1"/>
  <c r="I113" i="5" s="1"/>
  <c r="H100" i="5"/>
  <c r="H90" i="5"/>
  <c r="I100" i="5"/>
  <c r="H256" i="5"/>
  <c r="I101" i="5"/>
  <c r="H257" i="5"/>
  <c r="I83" i="5"/>
  <c r="I103" i="5" s="1"/>
  <c r="H94" i="5"/>
  <c r="J73" i="5"/>
  <c r="I90" i="5"/>
  <c r="I92" i="5"/>
  <c r="G110" i="5"/>
  <c r="G112" i="5"/>
  <c r="J77" i="5"/>
  <c r="I253" i="5" s="1"/>
  <c r="J81" i="5"/>
  <c r="J78" i="5"/>
  <c r="I254" i="5" s="1"/>
  <c r="J102" i="5"/>
  <c r="J79" i="5"/>
  <c r="I255" i="5" s="1"/>
  <c r="J76" i="5"/>
  <c r="I252" i="5" s="1"/>
  <c r="J80" i="5"/>
  <c r="K67" i="5"/>
  <c r="K82" i="5" s="1"/>
  <c r="I91" i="5"/>
  <c r="L79" i="7"/>
  <c r="M79" i="7" s="1"/>
  <c r="L85" i="7"/>
  <c r="L91" i="7" s="1"/>
  <c r="L77" i="7"/>
  <c r="M77" i="7" s="1"/>
  <c r="L83" i="7"/>
  <c r="L89" i="7" s="1"/>
  <c r="L75" i="7"/>
  <c r="M75" i="7" s="1"/>
  <c r="M70" i="7"/>
  <c r="M90" i="7" s="1"/>
  <c r="M73" i="7"/>
  <c r="M93" i="7" s="1"/>
  <c r="M72" i="7"/>
  <c r="M92" i="7" s="1"/>
  <c r="M71" i="7"/>
  <c r="M91" i="7" s="1"/>
  <c r="M69" i="7"/>
  <c r="M89" i="7" s="1"/>
  <c r="L78" i="7"/>
  <c r="M78" i="7" s="1"/>
  <c r="L86" i="7"/>
  <c r="L92" i="7" s="1"/>
  <c r="L76" i="7"/>
  <c r="M76" i="7" s="1"/>
  <c r="L84" i="7"/>
  <c r="L90" i="7" s="1"/>
  <c r="L78" i="6"/>
  <c r="M78" i="6" s="1"/>
  <c r="L84" i="6"/>
  <c r="L90" i="6" s="1"/>
  <c r="L79" i="6"/>
  <c r="M79" i="6" s="1"/>
  <c r="L83" i="6"/>
  <c r="L89" i="6" s="1"/>
  <c r="L77" i="6"/>
  <c r="M77" i="6" s="1"/>
  <c r="L75" i="6"/>
  <c r="M75" i="6" s="1"/>
  <c r="L81" i="6"/>
  <c r="L87" i="6" s="1"/>
  <c r="L82" i="6"/>
  <c r="L88" i="6" s="1"/>
  <c r="L76" i="6"/>
  <c r="M76" i="6" s="1"/>
  <c r="I87" i="5"/>
  <c r="I97" i="5"/>
  <c r="G108" i="5"/>
  <c r="G109" i="5"/>
  <c r="G111" i="5"/>
  <c r="G106" i="5"/>
  <c r="G107" i="5"/>
  <c r="I99" i="5"/>
  <c r="I89" i="5"/>
  <c r="I88" i="5"/>
  <c r="I98" i="5"/>
  <c r="I96" i="5"/>
  <c r="I86" i="5"/>
  <c r="H93" i="5"/>
  <c r="H103" i="5"/>
  <c r="M70" i="5"/>
  <c r="K68" i="5"/>
  <c r="P34" i="3"/>
  <c r="L23" i="3"/>
  <c r="L34" i="3"/>
  <c r="L24" i="3"/>
  <c r="E25" i="3"/>
  <c r="L26" i="3"/>
  <c r="E27" i="3"/>
  <c r="L28" i="3"/>
  <c r="L29" i="3"/>
  <c r="E30" i="3"/>
  <c r="L31" i="3"/>
  <c r="L32" i="3"/>
  <c r="E33" i="3"/>
  <c r="L25" i="3"/>
  <c r="E26" i="3"/>
  <c r="L27" i="3"/>
  <c r="E28" i="3"/>
  <c r="E29" i="3"/>
  <c r="L30" i="3"/>
  <c r="E31" i="3"/>
  <c r="E32" i="3"/>
  <c r="L33" i="3"/>
  <c r="R34" i="3"/>
  <c r="R35" i="3" s="1"/>
  <c r="R36" i="3" s="1"/>
  <c r="U23" i="3"/>
  <c r="I23" i="3" s="1"/>
  <c r="I35" i="3" s="1"/>
  <c r="T35" i="3"/>
  <c r="U35" i="3" s="1"/>
  <c r="H34" i="3"/>
  <c r="E24" i="3"/>
  <c r="J36" i="2"/>
  <c r="K36" i="2"/>
  <c r="L36" i="2"/>
  <c r="J84" i="5" l="1"/>
  <c r="J104" i="5" s="1"/>
  <c r="J114" i="5" s="1"/>
  <c r="J85" i="5"/>
  <c r="J105" i="5" s="1"/>
  <c r="I95" i="5"/>
  <c r="J100" i="5"/>
  <c r="I256" i="5"/>
  <c r="J101" i="5"/>
  <c r="I257" i="5"/>
  <c r="J83" i="5"/>
  <c r="J103" i="5" s="1"/>
  <c r="J112" i="5" s="1"/>
  <c r="K73" i="5"/>
  <c r="I93" i="5"/>
  <c r="I94" i="5"/>
  <c r="J92" i="5"/>
  <c r="H110" i="5"/>
  <c r="H112" i="5"/>
  <c r="I110" i="5"/>
  <c r="I112" i="5"/>
  <c r="J90" i="5"/>
  <c r="K76" i="5"/>
  <c r="J252" i="5" s="1"/>
  <c r="K80" i="5"/>
  <c r="K102" i="5"/>
  <c r="K77" i="5"/>
  <c r="J253" i="5" s="1"/>
  <c r="K81" i="5"/>
  <c r="K78" i="5"/>
  <c r="J254" i="5" s="1"/>
  <c r="K79" i="5"/>
  <c r="J255" i="5" s="1"/>
  <c r="L67" i="5"/>
  <c r="L82" i="5" s="1"/>
  <c r="J88" i="5"/>
  <c r="J98" i="5"/>
  <c r="H109" i="5"/>
  <c r="H106" i="5"/>
  <c r="H107" i="5"/>
  <c r="H108" i="5"/>
  <c r="H111" i="5"/>
  <c r="I106" i="5"/>
  <c r="I111" i="5"/>
  <c r="I108" i="5"/>
  <c r="I107" i="5"/>
  <c r="I109" i="5"/>
  <c r="J97" i="5"/>
  <c r="J87" i="5"/>
  <c r="J89" i="5"/>
  <c r="J99" i="5"/>
  <c r="L68" i="5"/>
  <c r="M68" i="5" s="1"/>
  <c r="J91" i="5"/>
  <c r="J96" i="5"/>
  <c r="J86" i="5"/>
  <c r="H31" i="3"/>
  <c r="G31" i="3"/>
  <c r="N28" i="3"/>
  <c r="O28" i="3"/>
  <c r="H23" i="3"/>
  <c r="N30" i="3"/>
  <c r="O30" i="3"/>
  <c r="H26" i="3"/>
  <c r="G26" i="3"/>
  <c r="H27" i="3"/>
  <c r="G27" i="3"/>
  <c r="N34" i="3"/>
  <c r="O34" i="3"/>
  <c r="N33" i="3"/>
  <c r="O33" i="3"/>
  <c r="H29" i="3"/>
  <c r="G29" i="3"/>
  <c r="N25" i="3"/>
  <c r="O25" i="3"/>
  <c r="H30" i="3"/>
  <c r="G30" i="3"/>
  <c r="N26" i="3"/>
  <c r="O26" i="3"/>
  <c r="N23" i="3"/>
  <c r="O23" i="3"/>
  <c r="H24" i="3"/>
  <c r="G24" i="3"/>
  <c r="N27" i="3"/>
  <c r="O27" i="3"/>
  <c r="N32" i="3"/>
  <c r="O32" i="3"/>
  <c r="N24" i="3"/>
  <c r="O24" i="3"/>
  <c r="N31" i="3"/>
  <c r="O31" i="3"/>
  <c r="H32" i="3"/>
  <c r="G32" i="3"/>
  <c r="H28" i="3"/>
  <c r="G28" i="3"/>
  <c r="H33" i="3"/>
  <c r="G33" i="3"/>
  <c r="N29" i="3"/>
  <c r="O29" i="3"/>
  <c r="H25" i="3"/>
  <c r="G25" i="3"/>
  <c r="P23" i="3"/>
  <c r="P35" i="3" s="1"/>
  <c r="C32" i="2"/>
  <c r="C30" i="2"/>
  <c r="J113" i="5" l="1"/>
  <c r="J95" i="5"/>
  <c r="K84" i="5"/>
  <c r="K104" i="5" s="1"/>
  <c r="K114" i="5" s="1"/>
  <c r="K85" i="5"/>
  <c r="K105" i="5" s="1"/>
  <c r="K101" i="5"/>
  <c r="J257" i="5"/>
  <c r="K100" i="5"/>
  <c r="J256" i="5"/>
  <c r="J107" i="5"/>
  <c r="J93" i="5"/>
  <c r="J109" i="5"/>
  <c r="J108" i="5"/>
  <c r="J94" i="5"/>
  <c r="J111" i="5"/>
  <c r="J106" i="5"/>
  <c r="J110" i="5"/>
  <c r="K83" i="5"/>
  <c r="K103" i="5" s="1"/>
  <c r="K111" i="5" s="1"/>
  <c r="L73" i="5"/>
  <c r="L85" i="5" s="1"/>
  <c r="K90" i="5"/>
  <c r="K92" i="5"/>
  <c r="L92" i="5" s="1"/>
  <c r="L79" i="5"/>
  <c r="K255" i="5" s="1"/>
  <c r="L81" i="5"/>
  <c r="L76" i="5"/>
  <c r="K252" i="5" s="1"/>
  <c r="L80" i="5"/>
  <c r="L77" i="5"/>
  <c r="K253" i="5" s="1"/>
  <c r="L78" i="5"/>
  <c r="K254" i="5" s="1"/>
  <c r="M67" i="5"/>
  <c r="M82" i="5" s="1"/>
  <c r="K97" i="5"/>
  <c r="K87" i="5"/>
  <c r="K86" i="5"/>
  <c r="K96" i="5"/>
  <c r="K99" i="5"/>
  <c r="K89" i="5"/>
  <c r="K91" i="5"/>
  <c r="K88" i="5"/>
  <c r="K98" i="5"/>
  <c r="O35" i="3"/>
  <c r="P36" i="3" s="1"/>
  <c r="H35" i="3"/>
  <c r="I36" i="3" s="1"/>
  <c r="C33" i="2"/>
  <c r="C31" i="2"/>
  <c r="K113" i="5" l="1"/>
  <c r="M85" i="5"/>
  <c r="L105" i="5"/>
  <c r="K95" i="5"/>
  <c r="L95" i="5" s="1"/>
  <c r="M95" i="5" s="1"/>
  <c r="L90" i="5"/>
  <c r="M90" i="5" s="1"/>
  <c r="L101" i="5"/>
  <c r="K257" i="5"/>
  <c r="L100" i="5"/>
  <c r="K256" i="5"/>
  <c r="K110" i="5"/>
  <c r="M73" i="5"/>
  <c r="L84" i="5"/>
  <c r="L104" i="5" s="1"/>
  <c r="K108" i="5"/>
  <c r="K109" i="5"/>
  <c r="K107" i="5"/>
  <c r="K112" i="5"/>
  <c r="K106" i="5"/>
  <c r="K94" i="5"/>
  <c r="L83" i="5"/>
  <c r="L103" i="5" s="1"/>
  <c r="K93" i="5"/>
  <c r="M92" i="5"/>
  <c r="L102" i="5"/>
  <c r="M80" i="5"/>
  <c r="L256" i="5" s="1"/>
  <c r="M79" i="5"/>
  <c r="L255" i="5" s="1"/>
  <c r="M77" i="5"/>
  <c r="L253" i="5" s="1"/>
  <c r="M78" i="5"/>
  <c r="L254" i="5" s="1"/>
  <c r="M81" i="5"/>
  <c r="L257" i="5" s="1"/>
  <c r="M76" i="5"/>
  <c r="L252" i="5" s="1"/>
  <c r="L88" i="5"/>
  <c r="M88" i="5" s="1"/>
  <c r="L98" i="5"/>
  <c r="L91" i="5"/>
  <c r="M91" i="5" s="1"/>
  <c r="L87" i="5"/>
  <c r="M87" i="5" s="1"/>
  <c r="L97" i="5"/>
  <c r="L86" i="5"/>
  <c r="M86" i="5" s="1"/>
  <c r="L96" i="5"/>
  <c r="L99" i="5"/>
  <c r="L89" i="5"/>
  <c r="M89" i="5" s="1"/>
  <c r="C5" i="2"/>
  <c r="D38" i="2"/>
  <c r="N37" i="2"/>
  <c r="I36" i="2"/>
  <c r="H36" i="2"/>
  <c r="G36" i="2"/>
  <c r="F36" i="2"/>
  <c r="E36" i="2"/>
  <c r="D36" i="2"/>
  <c r="C36" i="2"/>
  <c r="M35" i="2"/>
  <c r="N24" i="2"/>
  <c r="C24" i="2"/>
  <c r="G22" i="2"/>
  <c r="F22" i="2"/>
  <c r="E22" i="2"/>
  <c r="D22" i="2"/>
  <c r="C22" i="2"/>
  <c r="I23" i="2"/>
  <c r="H23" i="2"/>
  <c r="G23" i="2"/>
  <c r="F23" i="2"/>
  <c r="D23" i="2"/>
  <c r="C23" i="2"/>
  <c r="C12" i="2"/>
  <c r="C13" i="2" s="1"/>
  <c r="L111" i="5" l="1"/>
  <c r="L113" i="5"/>
  <c r="M113" i="5"/>
  <c r="M84" i="5"/>
  <c r="M114" i="5" s="1"/>
  <c r="C10" i="5"/>
  <c r="L114" i="5"/>
  <c r="L108" i="5"/>
  <c r="M83" i="5"/>
  <c r="M112" i="5" s="1"/>
  <c r="L107" i="5"/>
  <c r="L112" i="5"/>
  <c r="L106" i="5"/>
  <c r="L93" i="5"/>
  <c r="M93" i="5" s="1"/>
  <c r="L110" i="5"/>
  <c r="L94" i="5"/>
  <c r="M94" i="5" s="1"/>
  <c r="L109" i="5"/>
  <c r="M22" i="2"/>
  <c r="C39" i="2"/>
  <c r="C40" i="2" s="1"/>
  <c r="D37" i="2"/>
  <c r="D24" i="2"/>
  <c r="E23" i="2"/>
  <c r="M21" i="2"/>
  <c r="M23" i="2" s="1"/>
  <c r="E38" i="2"/>
  <c r="F38" i="2" s="1"/>
  <c r="G38" i="2" s="1"/>
  <c r="H38" i="2" s="1"/>
  <c r="I38" i="2" s="1"/>
  <c r="J38" i="2" s="1"/>
  <c r="K38" i="2" s="1"/>
  <c r="L38" i="2" s="1"/>
  <c r="D37" i="1"/>
  <c r="M106" i="5" l="1"/>
  <c r="M107" i="5"/>
  <c r="M111" i="5"/>
  <c r="M109" i="5"/>
  <c r="M110" i="5"/>
  <c r="M108" i="5"/>
  <c r="D26" i="2"/>
  <c r="D28" i="2"/>
  <c r="C29" i="2"/>
  <c r="C42" i="2" s="1"/>
  <c r="C43" i="2" s="1"/>
  <c r="C27" i="2"/>
  <c r="D30" i="2"/>
  <c r="D31" i="2" s="1"/>
  <c r="D32" i="2"/>
  <c r="D33" i="2" s="1"/>
  <c r="M38" i="2"/>
  <c r="E37" i="1"/>
  <c r="F37" i="1" s="1"/>
  <c r="G37" i="1" s="1"/>
  <c r="H37" i="1" s="1"/>
  <c r="I37" i="1" s="1"/>
  <c r="J37" i="1" s="1"/>
  <c r="K37" i="1" s="1"/>
  <c r="L37" i="1" s="1"/>
  <c r="D39" i="2"/>
  <c r="D41" i="2" s="1"/>
  <c r="E37" i="2"/>
  <c r="E24" i="2"/>
  <c r="E28" i="2" l="1"/>
  <c r="E26" i="2"/>
  <c r="M37" i="1"/>
  <c r="E30" i="2"/>
  <c r="E31" i="2" s="1"/>
  <c r="E32" i="2"/>
  <c r="E33" i="2"/>
  <c r="D69" i="2" s="1"/>
  <c r="D29" i="2"/>
  <c r="D42" i="2" s="1"/>
  <c r="D43" i="2" s="1"/>
  <c r="D27" i="2"/>
  <c r="D40" i="2"/>
  <c r="F24" i="2"/>
  <c r="E29" i="2"/>
  <c r="E42" i="2" s="1"/>
  <c r="E43" i="2" s="1"/>
  <c r="F37" i="2"/>
  <c r="E39" i="2"/>
  <c r="E41" i="2" s="1"/>
  <c r="C40" i="1"/>
  <c r="C16" i="1"/>
  <c r="C17" i="1" s="1"/>
  <c r="C44" i="1" l="1"/>
  <c r="C46" i="1"/>
  <c r="C45" i="1"/>
  <c r="F28" i="2"/>
  <c r="F26" i="2"/>
  <c r="F32" i="2"/>
  <c r="F33" i="2" s="1"/>
  <c r="F30" i="2"/>
  <c r="F31" i="2" s="1"/>
  <c r="E27" i="2"/>
  <c r="C39" i="1"/>
  <c r="E40" i="2"/>
  <c r="F29" i="2"/>
  <c r="F42" i="2" s="1"/>
  <c r="F43" i="2" s="1"/>
  <c r="G24" i="2"/>
  <c r="F39" i="2"/>
  <c r="F41" i="2" s="1"/>
  <c r="G37" i="2"/>
  <c r="N36" i="1"/>
  <c r="N26" i="1"/>
  <c r="G26" i="2" l="1"/>
  <c r="G29" i="2" s="1"/>
  <c r="G42" i="2" s="1"/>
  <c r="G43" i="2" s="1"/>
  <c r="G28" i="2"/>
  <c r="C31" i="1"/>
  <c r="G32" i="2"/>
  <c r="G33" i="2" s="1"/>
  <c r="G30" i="2"/>
  <c r="G31" i="2" s="1"/>
  <c r="F27" i="2"/>
  <c r="F40" i="2"/>
  <c r="G39" i="2"/>
  <c r="G41" i="2" s="1"/>
  <c r="H37" i="2"/>
  <c r="H24" i="2"/>
  <c r="D36" i="1"/>
  <c r="D38" i="1" s="1"/>
  <c r="M35" i="1"/>
  <c r="D26" i="1"/>
  <c r="D32" i="1" s="1"/>
  <c r="D30" i="1" l="1"/>
  <c r="D28" i="1"/>
  <c r="D41" i="1" s="1"/>
  <c r="H26" i="2"/>
  <c r="H29" i="2" s="1"/>
  <c r="H42" i="2" s="1"/>
  <c r="H43" i="2" s="1"/>
  <c r="H28" i="2"/>
  <c r="C29" i="1"/>
  <c r="H30" i="2"/>
  <c r="H31" i="2" s="1"/>
  <c r="H32" i="2"/>
  <c r="H33" i="2" s="1"/>
  <c r="G27" i="2"/>
  <c r="G40" i="2"/>
  <c r="H39" i="2"/>
  <c r="H41" i="2" s="1"/>
  <c r="I37" i="2"/>
  <c r="I24" i="2"/>
  <c r="D40" i="1"/>
  <c r="E26" i="1"/>
  <c r="E32" i="1" s="1"/>
  <c r="M24" i="1"/>
  <c r="E36" i="1"/>
  <c r="D44" i="1" l="1"/>
  <c r="D43" i="1"/>
  <c r="D46" i="1" s="1"/>
  <c r="D31" i="1"/>
  <c r="D42" i="1"/>
  <c r="D45" i="1" s="1"/>
  <c r="E38" i="1"/>
  <c r="E40" i="1" s="1"/>
  <c r="E30" i="1"/>
  <c r="E43" i="1"/>
  <c r="E28" i="1"/>
  <c r="E41" i="1" s="1"/>
  <c r="D33" i="1"/>
  <c r="I28" i="2"/>
  <c r="I26" i="2"/>
  <c r="I29" i="2" s="1"/>
  <c r="I42" i="2" s="1"/>
  <c r="I43" i="2" s="1"/>
  <c r="D72" i="1"/>
  <c r="I30" i="2"/>
  <c r="I31" i="2" s="1"/>
  <c r="I32" i="2"/>
  <c r="I33" i="2" s="1"/>
  <c r="H27" i="2"/>
  <c r="D29" i="1"/>
  <c r="D39" i="1"/>
  <c r="H40" i="2"/>
  <c r="J24" i="2"/>
  <c r="J37" i="2"/>
  <c r="I39" i="2"/>
  <c r="I41" i="2" s="1"/>
  <c r="F26" i="1"/>
  <c r="F32" i="1" s="1"/>
  <c r="F36" i="1"/>
  <c r="F38" i="1" s="1"/>
  <c r="E44" i="1" l="1"/>
  <c r="E33" i="1"/>
  <c r="E46" i="1"/>
  <c r="E31" i="1"/>
  <c r="E42" i="1"/>
  <c r="E45" i="1" s="1"/>
  <c r="E39" i="1"/>
  <c r="F30" i="1"/>
  <c r="F42" i="1" s="1"/>
  <c r="F28" i="1"/>
  <c r="F41" i="1" s="1"/>
  <c r="J28" i="2"/>
  <c r="J26" i="2"/>
  <c r="J29" i="2" s="1"/>
  <c r="J42" i="2" s="1"/>
  <c r="J43" i="2" s="1"/>
  <c r="J32" i="2"/>
  <c r="J33" i="2" s="1"/>
  <c r="J30" i="2"/>
  <c r="J31" i="2" s="1"/>
  <c r="I27" i="2"/>
  <c r="E29" i="1"/>
  <c r="I40" i="2"/>
  <c r="K24" i="2"/>
  <c r="J39" i="2"/>
  <c r="J41" i="2" s="1"/>
  <c r="K37" i="2"/>
  <c r="F40" i="1"/>
  <c r="G26" i="1"/>
  <c r="G32" i="1" s="1"/>
  <c r="G36" i="1"/>
  <c r="F45" i="1" l="1"/>
  <c r="F43" i="1"/>
  <c r="F46" i="1" s="1"/>
  <c r="F44" i="1"/>
  <c r="G38" i="1"/>
  <c r="G40" i="1" s="1"/>
  <c r="G30" i="1"/>
  <c r="G42" i="1" s="1"/>
  <c r="G43" i="1"/>
  <c r="G28" i="1"/>
  <c r="G41" i="1" s="1"/>
  <c r="F33" i="1"/>
  <c r="F31" i="1"/>
  <c r="K26" i="2"/>
  <c r="K29" i="2" s="1"/>
  <c r="K42" i="2" s="1"/>
  <c r="K43" i="2" s="1"/>
  <c r="K28" i="2"/>
  <c r="K30" i="2"/>
  <c r="K31" i="2" s="1"/>
  <c r="K32" i="2"/>
  <c r="K33" i="2" s="1"/>
  <c r="J27" i="2"/>
  <c r="F29" i="1"/>
  <c r="F39" i="1"/>
  <c r="J40" i="2"/>
  <c r="K39" i="2"/>
  <c r="K41" i="2" s="1"/>
  <c r="L37" i="2"/>
  <c r="L24" i="2"/>
  <c r="H26" i="1"/>
  <c r="H32" i="1" s="1"/>
  <c r="H36" i="1"/>
  <c r="G31" i="1" l="1"/>
  <c r="G46" i="1"/>
  <c r="G45" i="1"/>
  <c r="G33" i="1"/>
  <c r="G44" i="1"/>
  <c r="H38" i="1"/>
  <c r="H40" i="1" s="1"/>
  <c r="G39" i="1"/>
  <c r="H30" i="1"/>
  <c r="H28" i="1"/>
  <c r="H41" i="1" s="1"/>
  <c r="L26" i="2"/>
  <c r="L28" i="2"/>
  <c r="L32" i="2"/>
  <c r="L33" i="2" s="1"/>
  <c r="L30" i="2"/>
  <c r="L31" i="2" s="1"/>
  <c r="K27" i="2"/>
  <c r="G29" i="1"/>
  <c r="K40" i="2"/>
  <c r="M24" i="2"/>
  <c r="M32" i="2"/>
  <c r="M30" i="2"/>
  <c r="L39" i="2"/>
  <c r="L41" i="2" s="1"/>
  <c r="M37" i="2"/>
  <c r="I26" i="1"/>
  <c r="I32" i="1" s="1"/>
  <c r="I36" i="1"/>
  <c r="H43" i="1" l="1"/>
  <c r="H46" i="1" s="1"/>
  <c r="H44" i="1"/>
  <c r="H31" i="1"/>
  <c r="H42" i="1"/>
  <c r="H45" i="1" s="1"/>
  <c r="H33" i="1"/>
  <c r="I38" i="1"/>
  <c r="I40" i="1" s="1"/>
  <c r="H39" i="1"/>
  <c r="I30" i="1"/>
  <c r="I43" i="1"/>
  <c r="I28" i="1"/>
  <c r="I41" i="1" s="1"/>
  <c r="M26" i="2"/>
  <c r="L29" i="2"/>
  <c r="L42" i="2" s="1"/>
  <c r="L43" i="2" s="1"/>
  <c r="L27" i="2"/>
  <c r="H29" i="1"/>
  <c r="L40" i="2"/>
  <c r="M39" i="2"/>
  <c r="N46" i="2" s="1"/>
  <c r="M46" i="2" s="1"/>
  <c r="M28" i="2"/>
  <c r="J26" i="1"/>
  <c r="J32" i="1" s="1"/>
  <c r="J36" i="1"/>
  <c r="I46" i="1" l="1"/>
  <c r="I31" i="1"/>
  <c r="I42" i="1"/>
  <c r="I45" i="1" s="1"/>
  <c r="I44" i="1"/>
  <c r="J38" i="1"/>
  <c r="J40" i="1" s="1"/>
  <c r="I39" i="1"/>
  <c r="J28" i="1"/>
  <c r="J41" i="1" s="1"/>
  <c r="J30" i="1"/>
  <c r="J42" i="1" s="1"/>
  <c r="J43" i="1"/>
  <c r="I33" i="1"/>
  <c r="I29" i="1"/>
  <c r="N45" i="2"/>
  <c r="M45" i="2" s="1"/>
  <c r="M44" i="2"/>
  <c r="K26" i="1"/>
  <c r="K32" i="1" s="1"/>
  <c r="K36" i="1"/>
  <c r="J46" i="1" l="1"/>
  <c r="J33" i="1"/>
  <c r="J39" i="1"/>
  <c r="J44" i="1"/>
  <c r="J45" i="1"/>
  <c r="K38" i="1"/>
  <c r="K40" i="1" s="1"/>
  <c r="K30" i="1"/>
  <c r="K42" i="1" s="1"/>
  <c r="K43" i="1"/>
  <c r="K28" i="1"/>
  <c r="K41" i="1" s="1"/>
  <c r="N44" i="2"/>
  <c r="D63" i="2"/>
  <c r="J31" i="1"/>
  <c r="J29" i="1"/>
  <c r="L26" i="1"/>
  <c r="L32" i="1" s="1"/>
  <c r="L36" i="1"/>
  <c r="L38" i="1" s="1"/>
  <c r="K45" i="1" l="1"/>
  <c r="K33" i="1"/>
  <c r="K44" i="1"/>
  <c r="K46" i="1"/>
  <c r="K39" i="1"/>
  <c r="L30" i="1"/>
  <c r="L28" i="1"/>
  <c r="L41" i="1" s="1"/>
  <c r="M26" i="1"/>
  <c r="K29" i="1"/>
  <c r="K31" i="1"/>
  <c r="L40" i="1"/>
  <c r="M36" i="1"/>
  <c r="D73" i="1" s="1"/>
  <c r="L43" i="1" l="1"/>
  <c r="L46" i="1" s="1"/>
  <c r="M32" i="1"/>
  <c r="L33" i="1"/>
  <c r="M33" i="1" s="1"/>
  <c r="L44" i="1"/>
  <c r="M30" i="1"/>
  <c r="L42" i="1"/>
  <c r="L45" i="1" s="1"/>
  <c r="M28" i="1"/>
  <c r="L29" i="1"/>
  <c r="L39" i="1"/>
  <c r="M38" i="1"/>
  <c r="M48" i="1" l="1"/>
  <c r="M49" i="1"/>
  <c r="N48" i="1"/>
  <c r="L31" i="1"/>
  <c r="M31" i="1" s="1"/>
  <c r="M47" i="1"/>
  <c r="I35" i="4"/>
  <c r="J35" i="4" s="1"/>
  <c r="I47" i="4"/>
  <c r="I48" i="4" s="1"/>
  <c r="I27" i="4"/>
  <c r="I28" i="4" s="1"/>
  <c r="I63" i="4"/>
  <c r="J63" i="4" s="1"/>
  <c r="I64" i="4"/>
  <c r="J64" i="4" s="1"/>
  <c r="I65" i="4"/>
  <c r="J65" i="4" s="1"/>
  <c r="I55" i="4"/>
  <c r="I56" i="4" s="1"/>
  <c r="I31" i="4"/>
  <c r="I32" i="4" s="1"/>
  <c r="I59" i="4"/>
  <c r="J59" i="4" s="1"/>
  <c r="I19" i="4"/>
  <c r="J19" i="4" s="1"/>
  <c r="I39" i="4"/>
  <c r="J39" i="4" s="1"/>
  <c r="I15" i="4"/>
  <c r="J15" i="4" s="1"/>
  <c r="I51" i="4"/>
  <c r="J51" i="4" s="1"/>
  <c r="I23" i="4"/>
  <c r="I24" i="4" s="1"/>
  <c r="I43" i="4"/>
  <c r="J43" i="4" s="1"/>
  <c r="N47" i="1" l="1"/>
  <c r="D66" i="1"/>
  <c r="I44" i="4"/>
  <c r="I45" i="4" s="1"/>
  <c r="J23" i="4"/>
  <c r="J32" i="4"/>
  <c r="I33" i="4"/>
  <c r="I49" i="4"/>
  <c r="J48" i="4"/>
  <c r="I57" i="4"/>
  <c r="J56" i="4"/>
  <c r="I46" i="4"/>
  <c r="J46" i="4" s="1"/>
  <c r="J45" i="4"/>
  <c r="J24" i="4"/>
  <c r="I25" i="4"/>
  <c r="I29" i="4"/>
  <c r="J28" i="4"/>
  <c r="I60" i="4"/>
  <c r="J44" i="4"/>
  <c r="J47" i="4"/>
  <c r="J55" i="4"/>
  <c r="I16" i="4"/>
  <c r="I52" i="4"/>
  <c r="I66" i="4"/>
  <c r="J66" i="4" s="1"/>
  <c r="J27" i="4"/>
  <c r="J31" i="4"/>
  <c r="I36" i="4"/>
  <c r="I40" i="4"/>
  <c r="I20" i="4"/>
  <c r="I53" i="4" l="1"/>
  <c r="J52" i="4"/>
  <c r="I26" i="4"/>
  <c r="J26" i="4" s="1"/>
  <c r="J25" i="4"/>
  <c r="I34" i="4"/>
  <c r="J34" i="4" s="1"/>
  <c r="J33" i="4"/>
  <c r="I17" i="4"/>
  <c r="J16" i="4"/>
  <c r="J57" i="4"/>
  <c r="I58" i="4"/>
  <c r="J58" i="4" s="1"/>
  <c r="J40" i="4"/>
  <c r="I41" i="4"/>
  <c r="J29" i="4"/>
  <c r="I30" i="4"/>
  <c r="J30" i="4" s="1"/>
  <c r="I50" i="4"/>
  <c r="J50" i="4" s="1"/>
  <c r="J49" i="4"/>
  <c r="I37" i="4"/>
  <c r="J36" i="4"/>
  <c r="J60" i="4"/>
  <c r="I61" i="4"/>
  <c r="J20" i="4"/>
  <c r="I21" i="4"/>
  <c r="I62" i="4" l="1"/>
  <c r="J62" i="4" s="1"/>
  <c r="J61" i="4"/>
  <c r="J41" i="4"/>
  <c r="I42" i="4"/>
  <c r="J42" i="4" s="1"/>
  <c r="J17" i="4"/>
  <c r="I18" i="4"/>
  <c r="J18" i="4" s="1"/>
  <c r="J21" i="4"/>
  <c r="I22" i="4"/>
  <c r="J22" i="4" s="1"/>
  <c r="I38" i="4"/>
  <c r="J38" i="4" s="1"/>
  <c r="J37" i="4"/>
  <c r="J53" i="4"/>
  <c r="I54" i="4"/>
  <c r="J54" i="4" s="1"/>
  <c r="J67" i="4" l="1"/>
</calcChain>
</file>

<file path=xl/comments1.xml><?xml version="1.0" encoding="utf-8"?>
<comments xmlns="http://schemas.openxmlformats.org/spreadsheetml/2006/main">
  <authors>
    <author>Philippe</author>
  </authors>
  <commentList>
    <comment ref="B61" authorId="0">
      <text>
        <r>
          <rPr>
            <b/>
            <sz val="9"/>
            <color indexed="81"/>
            <rFont val="Tahoma"/>
            <family val="2"/>
          </rPr>
          <t>Philippe:</t>
        </r>
        <r>
          <rPr>
            <sz val="9"/>
            <color indexed="81"/>
            <rFont val="Tahoma"/>
            <family val="2"/>
          </rPr>
          <t xml:space="preserve">
Usagé = 24994 3,99% jusqu'à 5 an
4,24 pour les 72-84 mois
Neuve = 4,99%</t>
        </r>
      </text>
    </comment>
    <comment ref="B62" authorId="0">
      <text>
        <r>
          <rPr>
            <b/>
            <sz val="9"/>
            <color indexed="81"/>
            <rFont val="Tahoma"/>
            <family val="2"/>
          </rPr>
          <t>Philippe:</t>
        </r>
        <r>
          <rPr>
            <sz val="9"/>
            <color indexed="81"/>
            <rFont val="Tahoma"/>
            <family val="2"/>
          </rPr>
          <t xml:space="preserve">
38395 -442 +1950 +6042 -8000 = 37945
</t>
        </r>
      </text>
    </comment>
    <comment ref="B65" authorId="0">
      <text>
        <r>
          <rPr>
            <b/>
            <sz val="9"/>
            <color indexed="81"/>
            <rFont val="Tahoma"/>
            <family val="2"/>
          </rPr>
          <t>Philippe:</t>
        </r>
        <r>
          <rPr>
            <sz val="9"/>
            <color indexed="81"/>
            <rFont val="Tahoma"/>
            <family val="2"/>
          </rPr>
          <t xml:space="preserve">
47752 + tx - 8000
= 46900
</t>
        </r>
      </text>
    </comment>
    <comment ref="B66" authorId="0">
      <text>
        <r>
          <rPr>
            <b/>
            <sz val="9"/>
            <color indexed="81"/>
            <rFont val="Tahoma"/>
            <family val="2"/>
          </rPr>
          <t xml:space="preserve">Philippe:
87200 -8000
intérêts = 3.5
par semaine sur 7 ans
</t>
        </r>
      </text>
    </comment>
    <comment ref="C72" authorId="0">
      <text>
        <r>
          <rPr>
            <b/>
            <sz val="9"/>
            <color indexed="81"/>
            <rFont val="Tahoma"/>
            <family val="2"/>
          </rPr>
          <t>Philippe:</t>
        </r>
        <r>
          <rPr>
            <sz val="9"/>
            <color indexed="81"/>
            <rFont val="Tahoma"/>
            <family val="2"/>
          </rPr>
          <t xml:space="preserve">
Prix confirmé par BMW Laval 2015-10-16
</t>
        </r>
      </text>
    </comment>
  </commentList>
</comments>
</file>

<file path=xl/comments2.xml><?xml version="1.0" encoding="utf-8"?>
<comments xmlns="http://schemas.openxmlformats.org/spreadsheetml/2006/main">
  <authors>
    <author>Philippe</author>
  </authors>
  <commentList>
    <comment ref="A1" authorId="0">
      <text>
        <r>
          <rPr>
            <sz val="9"/>
            <color indexed="81"/>
            <rFont val="Tahoma"/>
            <family val="2"/>
          </rPr>
          <t xml:space="preserve">
Bonjour,
Pour faire l’exercice comptable le plus précisément possible pour avoir « l’heure juste », il faudrait ces chiffres. Et répondez aux questions en tenant compte que cette voiture va devenir votre PRINCIPALE ce qui veut dire que pour les sorties et commissions de fin de semaine, c’est sur ELLE que vont se rajouter des kms et des dollars d’essence… n.b. Les questions sont génériques et ne s’appliquent peut-être pas toutes dans votre cas, juste à inscrire NA.
Km par année parcouru (incluant les kms supplémentaires si elle devient la voiture principale)= ex.15000
Km parcouru pour aller au travail et revenir = ex. 1 allé retour de 70kms c’est le maximum et je peux me brancher quelque temps avant de repartir 
$ de gaz par semaine (incluant les kms supplémentaires si elle devient la voiture principale)= = ex.40$ par semaine
$ de gaz par année (ce qui inclut les « voyages hors du quotidien » (incluant les kms supplémentaires si elle devient la voiture principale)= = ex.3000$ par an
*Cette question semblant redondante à la précédente veut, en réalité, mesurer précisément le cout d’essence annuel pour vraiment y inclure tous les « déplacements hors normes »
Restant $ sur le prêt/location auto = ex. reste 8000$
Restant de Mois sur le prêt/location auto = ex. reste 18 mois
Combien de temps après la fin de paiement auriez-vous gardé l’auto = ex. mois j’achète pour 10ans et je prends mes prêts sur 5
Vous prévoyez la remplacer par une voiture avec un paiement annuel de combien (et sur combien de paiements)? = ex. 400$*12*60 moins
Pénalité pour retour de location = ex. pas de pénalité
Valeur estimée de l’auto = ex. estimé à 11000$
   Sinon : marque modèle options le plus précis possible pour récupérer les chiffres sur le BlackBook Canada = ex. camry 2008 v8 LS état bon
Avez-vous une 2e voiture disponible pour les voyages (ou dépanner si la voiture est en chargement) = ex.oui je peux prendre le suv de madame
Voulez-vous utiliser uniquement et toujours la voiture électrique ou pour les « voyages vous êtes prêt à utiliser votre 2e véhicule ou un véhicule de location avec tout l’argent sauvé sur le gaz = ex. Je préfèrerais une voiture 100% sans la génératrice et prendre mon suv lors des rares voyages
Avez-vous une prise 110v volt à la maison disponible = ex.oui
Y a-t-il possibilité qu’un électricien installe une 240v = ex.Non vie dans un condo et règlement strict, mais il y des chances en insistant 
L’endroit où vous travaillez ont-ils utilisé le super rabais de 75% du gouvernement pour installer une borne « employé et véhicule de compagnie» 240v payer par le gouvernement = ex. non, mais ils en parlent
Avez-vous quantifié le cout des maintenances de la voiture actuelles et une projection pour les années à venir? ex. Oui elle est plus vieille et me coute en moyenne 700$ par an et ça augmente chaque année.
Avez-vous quantifié par un chiffre le cout et/ou le trouble de devoir faire des maintenances sur une base régulière et lors de bris (il faut trouver une voiture de « spare » pendant ce temps : ex. je dois faire 6 maintenances et +- 1 réparation par année ce qui me coute une voiture de location pour 7 journées à 20$ ainsi qu’un employé qui doit aller porter la voiture donc, 140$+ 14 fois 30 minutes à 15$/h = une perte de 245$
Prix que vous payé le kwh? : ex. pour une maison ordinaire, HQ est à 5,68 cents les premiers 30kwh et 8,60 les suivant ou « nous avons un prix industriel à 4,5 cents le kwh »
Questions informationnelles ;)
Savez-vous que se déplacer en VÉ coute 10 fois moins cher que de se déplacer en voiture à gaz = ex. Non, tant qu’ca?
Êtes-vous au courant que 90-95% des fois vous aller vous recharger à la maison à un cout de 5$ du 500km= ex. hein wow! Ch’t’e crois pas!
Êtes-vous au courant que pour les rares fois (5-10%) ou vous allez vous recharger en dehors de la maison il existe présentement +-700 bornes aux Québec dont la moitié sont gratuites et il s’en rajoute 1 par semaine? = ex. Non tant qu’ca!
Savez-vous qu’il existe 15 bornes haute vitesse (20-30 mins pour une recharge 80%) au Québec pour les rares fois de vos déplacements de plus de 160km et que le nombre va monter à 30! d’ici la fin de l’année = ex. Non trop cool!
L’idée que vous n’allez pratiquement plus aller pour des maintenances et réparations au concessionnaire sauf pour des pneus neufs serait-elle intéressante pour vous = ex. Ben! Qui aime ça aller porter son auto au garage tous les 3 mois!
L’idée  de ne plus jamais aller faire la file par -30 et gros vent pour aller mettre du gaz et de juste brancher votre voiture dans le confort de votre demeure comme vous branchez déjà votre smartphone vous plait-elle?=  Ex. Ben sûr! D’autres questions évidentes?
Si vous avez des crédits gouvernementaux/remboursement du kilométrage où tous autres chiffres à inclure dans le calcul, laissez-moi savoir? ex : ma compagnie me donne 52 cents du kms alors j’ai 10,000 kms payés par ans.
Pour un commerce : avoir une borne électrique de disponible au publique offre un avantage évident : on apparait sur les cartes dans toutes les voitures électriques (www.plugshare.com) et une personne qui a besoin d’une charge de dépannage, cherche un coin pour manger ou une activité à faire, va vous choisir en préférence! Et pendant le temps qu’il doit attendre, va consommer/magasiner… 
Cela prend 10 secondes brancher et débrancher une voiture électrique alors que d’aller faire le plein prend au minium minutes… C’est un cout difficile à quantifier précisément, mais il faut garder en tête ce bénéfice.
</t>
        </r>
      </text>
    </comment>
  </commentList>
</comments>
</file>

<file path=xl/comments3.xml><?xml version="1.0" encoding="utf-8"?>
<comments xmlns="http://schemas.openxmlformats.org/spreadsheetml/2006/main">
  <authors>
    <author>Philippe Janson</author>
    <author>Philippe</author>
  </authors>
  <commentList>
    <comment ref="B6" authorId="0">
      <text>
        <r>
          <rPr>
            <b/>
            <sz val="9"/>
            <color indexed="81"/>
            <rFont val="Tahoma"/>
            <family val="2"/>
          </rPr>
          <t>Philippe Janson:</t>
        </r>
        <r>
          <rPr>
            <sz val="9"/>
            <color indexed="81"/>
            <rFont val="Tahoma"/>
            <family val="2"/>
          </rPr>
          <t xml:space="preserve">
On a l'habitude à sous-estimer ici mais pour que le calcul soit valable il faut être très précis</t>
        </r>
      </text>
    </comment>
    <comment ref="B7" authorId="0">
      <text>
        <r>
          <rPr>
            <b/>
            <sz val="9"/>
            <color indexed="81"/>
            <rFont val="Tahoma"/>
            <family val="2"/>
          </rPr>
          <t>Philippe Janson:</t>
        </r>
        <r>
          <rPr>
            <sz val="9"/>
            <color indexed="81"/>
            <rFont val="Tahoma"/>
            <family val="2"/>
          </rPr>
          <t xml:space="preserve">
Idéalement inscrivez le chiffre se rapprochant le plus à la réalité des 10 prochaines années.
Mais sinon si vous ne savez pas remplissez B7 à B9 et inscrivez le résultat obtenu dans B11
</t>
        </r>
      </text>
    </comment>
    <comment ref="B8" authorId="0">
      <text>
        <r>
          <rPr>
            <b/>
            <sz val="9"/>
            <color indexed="81"/>
            <rFont val="Tahoma"/>
            <family val="2"/>
          </rPr>
          <t>Philippe Janson:</t>
        </r>
        <r>
          <rPr>
            <sz val="9"/>
            <color indexed="81"/>
            <rFont val="Tahoma"/>
            <family val="2"/>
          </rPr>
          <t xml:space="preserve">
Eh oui! Desjardins a une conscience Social après tout!</t>
        </r>
      </text>
    </comment>
    <comment ref="N48" authorId="0">
      <text>
        <r>
          <rPr>
            <b/>
            <sz val="9"/>
            <color indexed="81"/>
            <rFont val="Tahoma"/>
            <family val="2"/>
          </rPr>
          <t>Entre parenthèses veut dire économisé! = (1 296,95) $</t>
        </r>
        <r>
          <rPr>
            <sz val="9"/>
            <color indexed="81"/>
            <rFont val="Tahoma"/>
            <family val="2"/>
          </rPr>
          <t xml:space="preserve">
</t>
        </r>
      </text>
    </comment>
    <comment ref="D73" authorId="1">
      <text>
        <r>
          <rPr>
            <b/>
            <sz val="9"/>
            <color indexed="81"/>
            <rFont val="Tahoma"/>
            <family val="2"/>
          </rPr>
          <t>Philippe:</t>
        </r>
        <r>
          <rPr>
            <sz val="9"/>
            <color indexed="81"/>
            <rFont val="Tahoma"/>
            <family val="2"/>
          </rPr>
          <t xml:space="preserve">
Philippe:
une piscine 15 pieds = 20,000 litres
Une 21 pieds = 39,500 litres
Une 24 pieds = 51,500 litres
etc</t>
        </r>
      </text>
    </comment>
  </commentList>
</comments>
</file>

<file path=xl/comments4.xml><?xml version="1.0" encoding="utf-8"?>
<comments xmlns="http://schemas.openxmlformats.org/spreadsheetml/2006/main">
  <authors>
    <author>Philippe Janson</author>
    <author>Philippe</author>
  </authors>
  <commentList>
    <comment ref="B5" authorId="0">
      <text>
        <r>
          <rPr>
            <b/>
            <sz val="9"/>
            <color indexed="81"/>
            <rFont val="Tahoma"/>
            <family val="2"/>
          </rPr>
          <t>Philippe Janson:</t>
        </r>
        <r>
          <rPr>
            <sz val="9"/>
            <color indexed="81"/>
            <rFont val="Tahoma"/>
            <family val="2"/>
          </rPr>
          <t xml:space="preserve">
On a l'habitude à sous-estimer ici mais pour que le calcul soit valable il faut être très précis</t>
        </r>
      </text>
    </comment>
    <comment ref="B6" authorId="0">
      <text>
        <r>
          <rPr>
            <b/>
            <sz val="9"/>
            <color indexed="81"/>
            <rFont val="Tahoma"/>
            <family val="2"/>
          </rPr>
          <t>Philippe Janson:</t>
        </r>
        <r>
          <rPr>
            <sz val="9"/>
            <color indexed="81"/>
            <rFont val="Tahoma"/>
            <family val="2"/>
          </rPr>
          <t xml:space="preserve">
Idéalement inscrivez le chiffre se rapprochant le plus à la réalité des 10 prochaines années.
Mais sinon si vous ne savez pas remplissez B7 à B9 et inscrivez le résultat obtenu dans B11
</t>
        </r>
      </text>
    </comment>
    <comment ref="B7" authorId="0">
      <text>
        <r>
          <rPr>
            <b/>
            <sz val="9"/>
            <color indexed="81"/>
            <rFont val="Tahoma"/>
            <family val="2"/>
          </rPr>
          <t>Philippe Janson:</t>
        </r>
        <r>
          <rPr>
            <sz val="9"/>
            <color indexed="81"/>
            <rFont val="Tahoma"/>
            <family val="2"/>
          </rPr>
          <t xml:space="preserve">
Eh oui! Desjardins a une conscience Social après tout!</t>
        </r>
      </text>
    </comment>
    <comment ref="M45" authorId="0">
      <text>
        <r>
          <rPr>
            <b/>
            <sz val="9"/>
            <color indexed="81"/>
            <rFont val="Tahoma"/>
            <family val="2"/>
          </rPr>
          <t>Between brackets means saved! = (1 296,95) $</t>
        </r>
      </text>
    </comment>
    <comment ref="N45" authorId="0">
      <text>
        <r>
          <rPr>
            <b/>
            <sz val="9"/>
            <color indexed="81"/>
            <rFont val="Tahoma"/>
            <family val="2"/>
          </rPr>
          <t>Between brackets means saved! = (1 296,95) $</t>
        </r>
        <r>
          <rPr>
            <sz val="9"/>
            <color indexed="81"/>
            <rFont val="Tahoma"/>
            <family val="2"/>
          </rPr>
          <t xml:space="preserve">
</t>
        </r>
      </text>
    </comment>
    <comment ref="M46" authorId="0">
      <text>
        <r>
          <rPr>
            <b/>
            <sz val="9"/>
            <color indexed="81"/>
            <rFont val="Tahoma"/>
            <family val="2"/>
          </rPr>
          <t>Between brackets means saved! = (1 296,95) $</t>
        </r>
      </text>
    </comment>
    <comment ref="N46" authorId="0">
      <text>
        <r>
          <rPr>
            <b/>
            <sz val="9"/>
            <color indexed="81"/>
            <rFont val="Tahoma"/>
            <family val="2"/>
          </rPr>
          <t>Between brackets means saved! = (1 296,95) $</t>
        </r>
      </text>
    </comment>
    <comment ref="D70" authorId="1">
      <text>
        <r>
          <rPr>
            <b/>
            <sz val="9"/>
            <color indexed="81"/>
            <rFont val="Tahoma"/>
            <family val="2"/>
          </rPr>
          <t>Philippe:</t>
        </r>
        <r>
          <rPr>
            <sz val="9"/>
            <color indexed="81"/>
            <rFont val="Tahoma"/>
            <family val="2"/>
          </rPr>
          <t xml:space="preserve">
Philippe:
une piscine 15 pieds = 20,000 litres
Une 21 pieds = 39,500 litres
Une 24 pieds = 51,500 litres
etc</t>
        </r>
      </text>
    </comment>
  </commentList>
</comments>
</file>

<file path=xl/comments5.xml><?xml version="1.0" encoding="utf-8"?>
<comments xmlns="http://schemas.openxmlformats.org/spreadsheetml/2006/main">
  <authors>
    <author>Philippe</author>
  </authors>
  <commentList>
    <comment ref="F6" authorId="0">
      <text>
        <r>
          <rPr>
            <b/>
            <sz val="9"/>
            <color indexed="81"/>
            <rFont val="Tahoma"/>
            <family val="2"/>
          </rPr>
          <t>Philippe:</t>
        </r>
        <r>
          <rPr>
            <sz val="9"/>
            <color indexed="81"/>
            <rFont val="Tahoma"/>
            <family val="2"/>
          </rPr>
          <t xml:space="preserve">
prix 34500 + 2000 s&amp;p
</t>
        </r>
      </text>
    </comment>
    <comment ref="K6" authorId="0">
      <text>
        <r>
          <rPr>
            <b/>
            <sz val="9"/>
            <color indexed="81"/>
            <rFont val="Tahoma"/>
            <family val="2"/>
          </rPr>
          <t>Philippe:</t>
        </r>
        <r>
          <rPr>
            <sz val="9"/>
            <color indexed="81"/>
            <rFont val="Tahoma"/>
            <family val="2"/>
          </rPr>
          <t xml:space="preserve">
http://www.etreunrenard.com/wp-content/uploads/2014/09/Cycle-de-depreciation-white.png
Dépriciation sur 4 ans = 45%
</t>
        </r>
      </text>
    </comment>
    <comment ref="L7" authorId="0">
      <text>
        <r>
          <rPr>
            <b/>
            <sz val="9"/>
            <color indexed="81"/>
            <rFont val="Tahoma"/>
            <family val="2"/>
          </rPr>
          <t>Philippe:</t>
        </r>
        <r>
          <rPr>
            <sz val="9"/>
            <color indexed="81"/>
            <rFont val="Tahoma"/>
            <family val="2"/>
          </rPr>
          <t xml:space="preserve">
aucune augmentation annuel sur la durée de possèssion de la voiture tenu compte malgré qu'une voiture de 4 ans devrait couter plus cher...</t>
        </r>
      </text>
    </comment>
    <comment ref="J11" authorId="0">
      <text>
        <r>
          <rPr>
            <b/>
            <sz val="9"/>
            <color indexed="81"/>
            <rFont val="Tahoma"/>
            <family val="2"/>
          </rPr>
          <t>Philippe:</t>
        </r>
        <r>
          <rPr>
            <sz val="9"/>
            <color indexed="81"/>
            <rFont val="Tahoma"/>
            <family val="2"/>
          </rPr>
          <t xml:space="preserve">
Valeur de la voiture de départ ajusté au cout de la vie
44365 
Moins valeur d'un échange incluant une marge de profit pour le concessionaire +45%
</t>
        </r>
      </text>
    </comment>
    <comment ref="H67" authorId="0">
      <text>
        <r>
          <rPr>
            <b/>
            <sz val="9"/>
            <color indexed="81"/>
            <rFont val="Tahoma"/>
            <family val="2"/>
          </rPr>
          <t>Philippe:</t>
        </r>
        <r>
          <rPr>
            <sz val="9"/>
            <color indexed="81"/>
            <rFont val="Tahoma"/>
            <family val="2"/>
          </rPr>
          <t xml:space="preserve">
Total des maintenances et réparation pour une voiture à essence majoré du 66% de moins de cout dûe à réparation moindre des VÉ
This is the total price of ice engine repairs minus the 66% of less costs that EV have
</t>
        </r>
      </text>
    </comment>
  </commentList>
</comments>
</file>

<file path=xl/comments6.xml><?xml version="1.0" encoding="utf-8"?>
<comments xmlns="http://schemas.openxmlformats.org/spreadsheetml/2006/main">
  <authors>
    <author>Philippe</author>
  </authors>
  <commentList>
    <comment ref="C3" authorId="0">
      <text>
        <r>
          <rPr>
            <b/>
            <sz val="9"/>
            <color indexed="81"/>
            <rFont val="Tahoma"/>
            <family val="2"/>
          </rPr>
          <t>J'ai dû démentir ce mythe à une centaine de reprises jusqu'à présent... 
je ne comprends pas pourquoi le monde n'utilise pas Google pour avoir leur information au lieu de dire n'importe quoi... Ça me dépasse.. Moi mon orgueil m'interdit de dire des choses erronées alors je fais des recherches avant, mais faut croire que je suis un des rares qui n'aime pas passer pour quelqu'un qui ne connait rien...
Les mythes viennent toujours du fait que le monde sont indifférent à la réalité et le mythe que les batteries qui seraient plus polluantes que l'essence brulée perdurent encore chez certaines personnes...
Voici la réalité:
La batterie va servir pendant 25 ans! dont +-15 dans la voiture et le reste dans des ups de salles de serveurs (Nissan on déjà un méga système en place pour ce faire). Donc 450kg de métaux recyclables à 98% après 25 ANS!
Toi en 25 ans si tu brules disons 50 litres par semaine, tu vas avoir utilisé 65,000 LITRES!! DE PÉTROLE extrait elle aussi.
65,000 litre c'est l'équivalent de 2 piscines hors terre de 20 pieds... ce qui représente des centaines de fois le volume de ma batterie... et des dizaines de milliers de fois le 2% non recyclable...
Maintenant la question est: combien de ces 65,000 litres de pétrole vas-tu recycler.... et la réponse est  ... ZÉRO!
Et où a été le 2% non recyclable... dans un endroit contrôle.
Et où a été tes 65,000 litres de pétrole... dans les poumons de mes enfants....et des votres !</t>
        </r>
      </text>
    </comment>
  </commentList>
</comments>
</file>

<file path=xl/sharedStrings.xml><?xml version="1.0" encoding="utf-8"?>
<sst xmlns="http://schemas.openxmlformats.org/spreadsheetml/2006/main" count="726" uniqueCount="522">
  <si>
    <t>Total</t>
  </si>
  <si>
    <t>http://www.lactualite.com/wp-content/uploads/2014/03/prix_electricite.png</t>
  </si>
  <si>
    <t>Total 7 ans</t>
  </si>
  <si>
    <t>aug. Prix électricité</t>
  </si>
  <si>
    <t>Total voiture sur 5 ans</t>
  </si>
  <si>
    <t>aug. Prix essence</t>
  </si>
  <si>
    <t>Combien faites-vous de km par an</t>
  </si>
  <si>
    <t>Variables</t>
  </si>
  <si>
    <t>aug. Prix essence http://roulezelectrique.com/speculations-sur-le-prix-futur-de-lessence/</t>
  </si>
  <si>
    <t>Intérêts sur voiture électrique Desjardins Vert</t>
  </si>
  <si>
    <t>Intérêts sur voiture à essence</t>
  </si>
  <si>
    <t>Année 1</t>
  </si>
  <si>
    <t>Année 2</t>
  </si>
  <si>
    <t>Année 3</t>
  </si>
  <si>
    <t>Année 4</t>
  </si>
  <si>
    <t>Année 5</t>
  </si>
  <si>
    <t>Année 6</t>
  </si>
  <si>
    <t>Année 7</t>
  </si>
  <si>
    <t>Année 8</t>
  </si>
  <si>
    <t>Année 9</t>
  </si>
  <si>
    <t>Année 10</t>
  </si>
  <si>
    <t>Total incl. Énergie</t>
  </si>
  <si>
    <t>Total voiture essence incl. Énergie</t>
  </si>
  <si>
    <t>augmentation coût électricité</t>
  </si>
  <si>
    <t>augmentation coût essence</t>
  </si>
  <si>
    <t>Combien mettez-vous d'essence par an au Total</t>
  </si>
  <si>
    <t>km sur votre Odomètre</t>
  </si>
  <si>
    <t>Nombre d'année de possession voiture actuelle</t>
  </si>
  <si>
    <t>Date d'aujourd'hui (aa-mm-jj)</t>
  </si>
  <si>
    <t>Date d'achat (aa-mm-jj)</t>
  </si>
  <si>
    <t>Pour le paiement annuel requis plus bas:  allez trouver le chiffre par mois que vous multiplierez par 12 ici:</t>
  </si>
  <si>
    <t>Veillez remplir les champs en bleu seulement</t>
  </si>
  <si>
    <t>Ceci ne tient pas compte non plus des économies encore plus grandes si vous gardez votre VÉ plus de 10 ans!</t>
  </si>
  <si>
    <t>http://www.roulezelectrique.com/</t>
  </si>
  <si>
    <t>http://www.aveq.ca</t>
  </si>
  <si>
    <t>http://www.ravelectrique.com/</t>
  </si>
  <si>
    <t>Km par année basé sur possession actuelle</t>
  </si>
  <si>
    <t xml:space="preserve"> = sur 10 ans!</t>
  </si>
  <si>
    <t>Ou ceci par an!</t>
  </si>
  <si>
    <t>Just fill in the fields that are in blue</t>
  </si>
  <si>
    <t>How much gas total do you put yearly?</t>
  </si>
  <si>
    <t>Desjardins Bank interest rate for green cars</t>
  </si>
  <si>
    <t>Regular interest rate?</t>
  </si>
  <si>
    <t>KM on you car</t>
  </si>
  <si>
    <t>Purchased date (yy-mm-dd)</t>
  </si>
  <si>
    <t>Today's date (yy-mm-dd)</t>
  </si>
  <si>
    <t>Total years of ownership of current car</t>
  </si>
  <si>
    <t>Km per year based on current usage</t>
  </si>
  <si>
    <t>This also do not take into consideration the even more important saving if you keep your car more then 10 years which an EV can easily do!</t>
  </si>
  <si>
    <t>Year 1</t>
  </si>
  <si>
    <t>Year 2</t>
  </si>
  <si>
    <t>Year 3</t>
  </si>
  <si>
    <t>Year 4</t>
  </si>
  <si>
    <t>Year 5</t>
  </si>
  <si>
    <t>Year 6</t>
  </si>
  <si>
    <t>Year 7</t>
  </si>
  <si>
    <t>Year 8</t>
  </si>
  <si>
    <t>Year 9</t>
  </si>
  <si>
    <t>Year 10</t>
  </si>
  <si>
    <t>Electricity</t>
  </si>
  <si>
    <t>Total 5 years</t>
  </si>
  <si>
    <t>For fun: Tesla cost</t>
  </si>
  <si>
    <t>For fun: BMW i3 cost</t>
  </si>
  <si>
    <t>Gas</t>
  </si>
  <si>
    <t>Total 7 years</t>
  </si>
  <si>
    <t>Price difference between 5 or 7 years in interests</t>
  </si>
  <si>
    <t>Total incl. Energie</t>
  </si>
  <si>
    <t xml:space="preserve">Total for gas car </t>
  </si>
  <si>
    <t>aug. Electricity price yearly increase</t>
  </si>
  <si>
    <t>aug. Gas price yearly increase</t>
  </si>
  <si>
    <t>Total gas car including the energy</t>
  </si>
  <si>
    <t>Money saved over a 10 year period using a VE instead of a gas car based on the 7 year loan</t>
  </si>
  <si>
    <t xml:space="preserve"> = a year!</t>
  </si>
  <si>
    <r>
      <t xml:space="preserve">A </t>
    </r>
    <r>
      <rPr>
        <b/>
        <u/>
        <sz val="14"/>
        <color theme="1"/>
        <rFont val="Calibri"/>
        <family val="2"/>
        <scheme val="minor"/>
      </rPr>
      <t>BMW i3</t>
    </r>
    <r>
      <rPr>
        <sz val="14"/>
        <color theme="1"/>
        <rFont val="Calibri"/>
        <family val="2"/>
        <scheme val="minor"/>
      </rPr>
      <t xml:space="preserve"> would cost/save you this amount oever a 10 year period</t>
    </r>
  </si>
  <si>
    <r>
      <t xml:space="preserve">A </t>
    </r>
    <r>
      <rPr>
        <b/>
        <sz val="14"/>
        <color theme="1"/>
        <rFont val="Calibri"/>
        <family val="2"/>
        <scheme val="minor"/>
      </rPr>
      <t>Tesla</t>
    </r>
    <r>
      <rPr>
        <sz val="14"/>
        <color theme="1"/>
        <rFont val="Calibri"/>
        <family val="2"/>
        <scheme val="minor"/>
      </rPr>
      <t xml:space="preserve"> vous cost/save you this amount over a 10 year period</t>
    </r>
  </si>
  <si>
    <r>
      <rPr>
        <b/>
        <sz val="16"/>
        <color theme="1"/>
        <rFont val="Edwardian Script ITC"/>
        <family val="4"/>
      </rPr>
      <t>I</t>
    </r>
    <r>
      <rPr>
        <sz val="16"/>
        <color theme="1"/>
        <rFont val="Calibri"/>
        <family val="2"/>
        <scheme val="minor"/>
      </rPr>
      <t>'ve done lots of Excel spreasheets in the past using different variables and what I learned is that too much details stop people from using them so here's the most balanced Fun vs Detailed one I came up with</t>
    </r>
    <r>
      <rPr>
        <b/>
        <sz val="11"/>
        <color theme="1"/>
        <rFont val="Calibri"/>
        <family val="2"/>
        <scheme val="minor"/>
      </rPr>
      <t>…</t>
    </r>
    <r>
      <rPr>
        <sz val="11"/>
        <color theme="1"/>
        <rFont val="Calibri"/>
        <family val="2"/>
        <scheme val="minor"/>
      </rPr>
      <t xml:space="preserve"> </t>
    </r>
    <r>
      <rPr>
        <i/>
        <sz val="11"/>
        <color theme="1"/>
        <rFont val="Calibri"/>
        <family val="2"/>
        <scheme val="minor"/>
      </rPr>
      <t>Enjoy!</t>
    </r>
  </si>
  <si>
    <t>How many kms do you do yearly?</t>
  </si>
  <si>
    <t>To find yearly paiments required to fill the spreadsheet go to this web site and fill it in using your numbers and mulpliply by 12:</t>
  </si>
  <si>
    <t>The included exemples are based on a 72 000$ Tesla with the 8 000 provincial rebate and the BMW i3 on the $40 000 rebate applied so just adjust in you are not in Québec</t>
  </si>
  <si>
    <t>EV paiments per months using the 7 years base</t>
  </si>
  <si>
    <t>Gas car base on your choice of 5 or 7  years to have a comparaison</t>
  </si>
  <si>
    <t xml:space="preserve"> = or this amount a year!</t>
  </si>
  <si>
    <t>Electricity hikes based on this</t>
  </si>
  <si>
    <t>Gas hikes basede on this</t>
  </si>
  <si>
    <t>Hikes of the price of gas http://roulezelectrique.com/speculations-sur-le-prix-futur-de-lessence/</t>
  </si>
  <si>
    <t>Electricity hikes http://www.lactualite.com/wp-content/uploads/2014/03/prix_electricite.png</t>
  </si>
  <si>
    <t>And the included gas car exemple is based on a Ford at just 25 000$! :  with a gas expenses of  55$ a week</t>
  </si>
  <si>
    <t xml:space="preserve">Comparativement à une 25 000$ :  pour une consommation de 55$ par semaine </t>
  </si>
  <si>
    <t>Cost Electricity and gas a year</t>
  </si>
  <si>
    <t>décembre</t>
  </si>
  <si>
    <t>novembre</t>
  </si>
  <si>
    <t>g</t>
  </si>
  <si>
    <t>octobre</t>
  </si>
  <si>
    <t>septembre</t>
  </si>
  <si>
    <t>août</t>
  </si>
  <si>
    <t>juillet</t>
  </si>
  <si>
    <t>juin</t>
  </si>
  <si>
    <t>mai</t>
  </si>
  <si>
    <t>avril</t>
  </si>
  <si>
    <t>mars</t>
  </si>
  <si>
    <t>février</t>
  </si>
  <si>
    <t>janvier</t>
  </si>
  <si>
    <t>jours/100kms</t>
  </si>
  <si>
    <t>KM per months</t>
  </si>
  <si>
    <t>Gas a month</t>
  </si>
  <si>
    <t>gas $ per month</t>
  </si>
  <si>
    <t>Elec $ per month</t>
  </si>
  <si>
    <t>$ Combined per day</t>
  </si>
  <si>
    <t>gas $ per day</t>
  </si>
  <si>
    <t>Elec per day</t>
  </si>
  <si>
    <t>kms gas</t>
  </si>
  <si>
    <t>kms E</t>
  </si>
  <si>
    <t>gas$ per month</t>
  </si>
  <si>
    <t>elec $ per day</t>
  </si>
  <si>
    <t>ev km per day cover</t>
  </si>
  <si>
    <t>i3 cell cover</t>
  </si>
  <si>
    <t>Current Avalon</t>
  </si>
  <si>
    <t>volt 40w/80s</t>
  </si>
  <si>
    <t>BMW i3</t>
  </si>
  <si>
    <t>monthly lease 600$</t>
  </si>
  <si>
    <t>$ per Kwh low period</t>
  </si>
  <si>
    <t>kwh battery</t>
  </si>
  <si>
    <t>40 $ a week</t>
  </si>
  <si>
    <t>$ le litre</t>
  </si>
  <si>
    <t>50% higher</t>
  </si>
  <si>
    <t>50% 80kmh</t>
  </si>
  <si>
    <t>majority</t>
  </si>
  <si>
    <t>30-100 km</t>
  </si>
  <si>
    <t>550km banf</t>
  </si>
  <si>
    <t xml:space="preserve">1 a 2 </t>
  </si>
  <si>
    <t>total</t>
  </si>
  <si>
    <t>personnal</t>
  </si>
  <si>
    <t>work related km</t>
  </si>
  <si>
    <t>ve quebec</t>
  </si>
  <si>
    <t>De pluss!</t>
  </si>
  <si>
    <t>Achat =</t>
  </si>
  <si>
    <t>Location =</t>
  </si>
  <si>
    <t>Cout total de toute une vie:</t>
  </si>
  <si>
    <t>Période:</t>
  </si>
  <si>
    <t>Valeur de revente à 1000$ indexée</t>
  </si>
  <si>
    <t>cout de la vie 2,5%</t>
  </si>
  <si>
    <t>par an</t>
  </si>
  <si>
    <t>par mois</t>
  </si>
  <si>
    <t>Âge</t>
  </si>
  <si>
    <t>Achat</t>
  </si>
  <si>
    <t>Location</t>
  </si>
  <si>
    <t>Dépense supplémentaire d'une Location d'une leaf sur 59 ans: (Leaf renting overprice result)</t>
  </si>
  <si>
    <t>Montly payments all included based on the 7 years loan</t>
  </si>
  <si>
    <r>
      <t xml:space="preserve">EV paiments base on a 7 years loan  </t>
    </r>
    <r>
      <rPr>
        <i/>
        <sz val="8"/>
        <color theme="1"/>
        <rFont val="Calibri"/>
        <family val="2"/>
        <scheme val="minor"/>
      </rPr>
      <t>* Number reach using the link auto123</t>
    </r>
  </si>
  <si>
    <r>
      <t xml:space="preserve">EV paiments base on a 5 years loan  </t>
    </r>
    <r>
      <rPr>
        <i/>
        <sz val="8"/>
        <color theme="1"/>
        <rFont val="Calibri"/>
        <family val="2"/>
        <scheme val="minor"/>
      </rPr>
      <t>* Number reach using the link auto 123</t>
    </r>
  </si>
  <si>
    <t>Gas car loan cost a month based on the previous 5 to 7 y</t>
  </si>
  <si>
    <t>Maintenance and Repairs related to gas parts only per year</t>
  </si>
  <si>
    <t>The present exemple is based on a Leaf full equip at 39000$ minus the provincial rebate of 8000</t>
  </si>
  <si>
    <t>L'exemple Vé 1 est basé sur une Leaf full equip de 39000$ avec le rabais provincial de 8000</t>
  </si>
  <si>
    <t>Paiement mensuel total voiture à essence</t>
  </si>
  <si>
    <t>Paiement mensuel total voiture électrique</t>
  </si>
  <si>
    <t>Monthly payments all included gas car</t>
  </si>
  <si>
    <t>Monthly payments all included electric car</t>
  </si>
  <si>
    <t>Difference (gas car minus electric car) You save per month this:</t>
  </si>
  <si>
    <t>prix revente</t>
  </si>
  <si>
    <t>R&amp;M</t>
  </si>
  <si>
    <t>Hypothèse: Dès l'age de 26 ans vous avez 2 options: acheter et gardez 10 ans ou loué à vie une voiture Electrique. Une voiture X à un prix X  et le même pour les 2 options (ici une voiture à 30 000$ prix et couts indexés).</t>
  </si>
  <si>
    <t>Hypothèsus: Starting at age 26. you have 2 options: Either you buy and get your electric car for 10 years or you rent for life. Using a car model X at a prix X identical for both options (here it's a 30 000$ car price indexed).</t>
  </si>
  <si>
    <t xml:space="preserve"> </t>
  </si>
  <si>
    <t>www.timetoelectrify.ca</t>
  </si>
  <si>
    <t>Paiement par mois  tout compris  Yaris</t>
  </si>
  <si>
    <t>Paiement par mois tout compris  BMW i3</t>
  </si>
  <si>
    <t>Paiement par mois tout compris  Sparks</t>
  </si>
  <si>
    <t>Paiement par mois tout compris  Leaf</t>
  </si>
  <si>
    <t>Cumulatif / cumulative     BMW i3</t>
  </si>
  <si>
    <t>Cumulatif / cumulative     Volt Usagée</t>
  </si>
  <si>
    <t>Cumulatif / cumulative     Volt Neuve</t>
  </si>
  <si>
    <t>Cumulatif / cumulative     Sparks</t>
  </si>
  <si>
    <t>Cumulatif / cumulative     Leaf</t>
  </si>
  <si>
    <t>Total      Yaris</t>
  </si>
  <si>
    <t>Total      BMW i3</t>
  </si>
  <si>
    <t>Total      Volt Usagée</t>
  </si>
  <si>
    <t>Total      Volt Neuve</t>
  </si>
  <si>
    <t>Total      Sparks</t>
  </si>
  <si>
    <t>Total      Leaf</t>
  </si>
  <si>
    <t>Yaris</t>
  </si>
  <si>
    <r>
      <t xml:space="preserve">VÉ paiement 7ans  </t>
    </r>
    <r>
      <rPr>
        <i/>
        <sz val="8"/>
        <color theme="1"/>
        <rFont val="Calibri"/>
        <family val="2"/>
        <scheme val="minor"/>
      </rPr>
      <t xml:space="preserve"> </t>
    </r>
    <r>
      <rPr>
        <b/>
        <sz val="8"/>
        <color theme="1"/>
        <rFont val="Calibri"/>
        <family val="2"/>
        <scheme val="minor"/>
      </rPr>
      <t>BMW i3</t>
    </r>
  </si>
  <si>
    <r>
      <t xml:space="preserve">VÉ paiement 7ans  </t>
    </r>
    <r>
      <rPr>
        <i/>
        <sz val="8"/>
        <color theme="1"/>
        <rFont val="Calibri"/>
        <family val="2"/>
        <scheme val="minor"/>
      </rPr>
      <t xml:space="preserve"> </t>
    </r>
    <r>
      <rPr>
        <b/>
        <sz val="8"/>
        <color theme="1"/>
        <rFont val="Calibri"/>
        <family val="2"/>
        <scheme val="minor"/>
      </rPr>
      <t>Volt Usagée</t>
    </r>
  </si>
  <si>
    <r>
      <t xml:space="preserve">VÉ paiement 7ans  </t>
    </r>
    <r>
      <rPr>
        <i/>
        <sz val="8"/>
        <color theme="1"/>
        <rFont val="Calibri"/>
        <family val="2"/>
        <scheme val="minor"/>
      </rPr>
      <t xml:space="preserve"> </t>
    </r>
    <r>
      <rPr>
        <b/>
        <sz val="8"/>
        <color theme="1"/>
        <rFont val="Calibri"/>
        <family val="2"/>
        <scheme val="minor"/>
      </rPr>
      <t>Volt Neuve</t>
    </r>
  </si>
  <si>
    <r>
      <t xml:space="preserve">VÉ paiement 7ans    </t>
    </r>
    <r>
      <rPr>
        <b/>
        <sz val="8"/>
        <color theme="1"/>
        <rFont val="Calibri"/>
        <family val="2"/>
        <scheme val="minor"/>
      </rPr>
      <t>Sparks</t>
    </r>
  </si>
  <si>
    <r>
      <t xml:space="preserve">VÉ paiement 7ans  </t>
    </r>
    <r>
      <rPr>
        <i/>
        <sz val="8"/>
        <color theme="1"/>
        <rFont val="Calibri"/>
        <family val="2"/>
        <scheme val="minor"/>
      </rPr>
      <t xml:space="preserve"> </t>
    </r>
    <r>
      <rPr>
        <b/>
        <sz val="8"/>
        <color theme="1"/>
        <rFont val="Calibri"/>
        <family val="2"/>
        <scheme val="minor"/>
      </rPr>
      <t>LEAF</t>
    </r>
  </si>
  <si>
    <t>&lt;--- Vous pouvez changer ces valeurs / try changing those numbers</t>
  </si>
  <si>
    <t>Essence par semaine / gas per week</t>
  </si>
  <si>
    <t>Voiture / Car</t>
  </si>
  <si>
    <t>Cumulatif Yaris</t>
  </si>
  <si>
    <t>Paiement par mois tout compris  Volt Neuve</t>
  </si>
  <si>
    <t>Paiement par mois tout compris  Volt Usagée</t>
  </si>
  <si>
    <t>Achat fréquent</t>
  </si>
  <si>
    <t>R&amp;M voir colone plus loin</t>
  </si>
  <si>
    <t>prix vente</t>
  </si>
  <si>
    <t>Location coute:</t>
  </si>
  <si>
    <t>Achat coute:</t>
  </si>
  <si>
    <t>Coût Électricité par an / electricity per year</t>
  </si>
  <si>
    <t>Maintenances et réparations VÉ par an</t>
  </si>
  <si>
    <t>Coût de l'essence par an / gas cost per year</t>
  </si>
  <si>
    <t>Maintenances Réparations Yaris</t>
  </si>
  <si>
    <t>Différence par mois entre  Yaris moins Leaf</t>
  </si>
  <si>
    <t>Différence par mois entre  Yaris moins Sparks</t>
  </si>
  <si>
    <t>Différence par mois entre  Yaris moins Volt neuve</t>
  </si>
  <si>
    <t>Différence par mois entre  Yaris moins BMW i3</t>
  </si>
  <si>
    <t>Différence par mois entre  Yaris moins Volt usagée</t>
  </si>
  <si>
    <t>Document:   https://drive.google.com/open?id=0B26ipg970EOmVjJhM0FIbWZJMDA&amp;authuser=0</t>
  </si>
  <si>
    <t>↑</t>
  </si>
  <si>
    <t>Si positif= tu sauves avec un vé / if positif = you save</t>
  </si>
  <si>
    <t>Cost of an equip Yaris of 21,500$ if you do 12,500 miles a year, and you put 50$ of gas a week.</t>
  </si>
  <si>
    <t>ou   http://goo.gl/zAvyBS</t>
  </si>
  <si>
    <t>Scénario: Coût d'une Yaris équipée à 21,500$ à l'achat si vous faites 20,000 kilomètres par an, que vous mettez 50$ d'essence par semaine</t>
  </si>
  <si>
    <t>http://goo.gl/zAvyBS</t>
  </si>
  <si>
    <t>philjans@gmail.com</t>
  </si>
  <si>
    <r>
      <t xml:space="preserve">Sans financement, uniquement payé </t>
    </r>
    <r>
      <rPr>
        <b/>
        <u/>
        <sz val="16"/>
        <color theme="1"/>
        <rFont val="Calibri"/>
        <family val="2"/>
        <scheme val="minor"/>
      </rPr>
      <t>comptant</t>
    </r>
    <r>
      <rPr>
        <b/>
        <sz val="16"/>
        <color theme="1"/>
        <rFont val="Calibri"/>
        <family val="2"/>
        <scheme val="minor"/>
      </rPr>
      <t>!</t>
    </r>
  </si>
  <si>
    <t>Cumulatif Electricité</t>
  </si>
  <si>
    <t>Cumulatif Essence</t>
  </si>
  <si>
    <t>Coût uniquement de l'énergie pour le déplacement (Electricité ou essence / Cost of energy bought to move the car (gas / electricity)</t>
  </si>
  <si>
    <r>
      <t xml:space="preserve">VÉ paiement 7ans  </t>
    </r>
    <r>
      <rPr>
        <i/>
        <sz val="8"/>
        <color theme="1"/>
        <rFont val="Calibri"/>
        <family val="2"/>
        <scheme val="minor"/>
      </rPr>
      <t xml:space="preserve"> </t>
    </r>
    <r>
      <rPr>
        <b/>
        <sz val="8"/>
        <color theme="1"/>
        <rFont val="Calibri"/>
        <family val="2"/>
        <scheme val="minor"/>
      </rPr>
      <t>Kia Soul</t>
    </r>
  </si>
  <si>
    <t>Total      Kia Soul</t>
  </si>
  <si>
    <t>Cumulatif / cumulative     Kia Soul</t>
  </si>
  <si>
    <t>Paiement par mois tout compris  Kia Soul</t>
  </si>
  <si>
    <t>Questions? philjans@gmail.com</t>
  </si>
  <si>
    <r>
      <rPr>
        <b/>
        <i/>
        <sz val="11"/>
        <color theme="1"/>
        <rFont val="Calibri"/>
        <family val="2"/>
        <scheme val="minor"/>
      </rPr>
      <t>" … pourquoi je fais ceci "</t>
    </r>
    <r>
      <rPr>
        <b/>
        <sz val="11"/>
        <color theme="1"/>
        <rFont val="Calibri"/>
        <family val="2"/>
        <scheme val="minor"/>
      </rPr>
      <t xml:space="preserve"> :non je n'ai pas de commission. Les gaz à effets de serre sont responsable à 40% du réchauffement climatique au Québec… Et le réchauffement climatique est la pire chose qu'on  donne en héritage à nos enfants… tout simplement</t>
    </r>
  </si>
  <si>
    <t>Si positif= Montant que tu sauves avec un vé / if positif = what an EV make you save</t>
  </si>
  <si>
    <t>Je vous offre même de comptabiliser VOS chiffres gratuitement, profitez de l'offre :)</t>
  </si>
  <si>
    <t>Semaine 52</t>
  </si>
  <si>
    <t>Semaine 51</t>
  </si>
  <si>
    <t>Semaine 50</t>
  </si>
  <si>
    <t>Semaine 49</t>
  </si>
  <si>
    <t>Semaine 48</t>
  </si>
  <si>
    <t>Semaine 47</t>
  </si>
  <si>
    <t>Semaine 46</t>
  </si>
  <si>
    <t>Semaine 45</t>
  </si>
  <si>
    <t>Décembre</t>
  </si>
  <si>
    <t>Semaine 44</t>
  </si>
  <si>
    <t>Semaine 43</t>
  </si>
  <si>
    <t>Semaine 42</t>
  </si>
  <si>
    <t>Semaine 41</t>
  </si>
  <si>
    <t>Novembre</t>
  </si>
  <si>
    <t>Semaine 40</t>
  </si>
  <si>
    <t>Semaine 39</t>
  </si>
  <si>
    <t>Semaine 38</t>
  </si>
  <si>
    <t>Semaine 37</t>
  </si>
  <si>
    <t>Octobre</t>
  </si>
  <si>
    <t>Semaine 36</t>
  </si>
  <si>
    <t>Semaine 35</t>
  </si>
  <si>
    <t>Semaine 34</t>
  </si>
  <si>
    <t>Semaine 33</t>
  </si>
  <si>
    <t>Septembre</t>
  </si>
  <si>
    <t>Semaine 32</t>
  </si>
  <si>
    <t>Semaine 31</t>
  </si>
  <si>
    <t>Semaine 30</t>
  </si>
  <si>
    <t>Semaine 29</t>
  </si>
  <si>
    <t>Août</t>
  </si>
  <si>
    <t>Semaine 28</t>
  </si>
  <si>
    <t>Semaine 27</t>
  </si>
  <si>
    <t>Semaine 26</t>
  </si>
  <si>
    <t>Semaine 25</t>
  </si>
  <si>
    <t>Juillet</t>
  </si>
  <si>
    <t>Semaine 24</t>
  </si>
  <si>
    <t>Semaine 23</t>
  </si>
  <si>
    <t>Semaine 22</t>
  </si>
  <si>
    <t>Semaine 21</t>
  </si>
  <si>
    <t>Juin</t>
  </si>
  <si>
    <t>Semaine 20</t>
  </si>
  <si>
    <t>Semaine 19</t>
  </si>
  <si>
    <t>Semaine 18</t>
  </si>
  <si>
    <t>Semaine 17</t>
  </si>
  <si>
    <t>Mai</t>
  </si>
  <si>
    <t>Semaine 16</t>
  </si>
  <si>
    <t>Semaine 15</t>
  </si>
  <si>
    <t>Semaine 14</t>
  </si>
  <si>
    <t>Semaine 13</t>
  </si>
  <si>
    <t>Avril</t>
  </si>
  <si>
    <t>Semaine 12</t>
  </si>
  <si>
    <t>Semaine 11</t>
  </si>
  <si>
    <t>Semaine 10</t>
  </si>
  <si>
    <t>Semaine 9</t>
  </si>
  <si>
    <t>Mars</t>
  </si>
  <si>
    <t>Semaine 8</t>
  </si>
  <si>
    <t>Semaine 7</t>
  </si>
  <si>
    <t>Semaine 6</t>
  </si>
  <si>
    <t>Semaine 5</t>
  </si>
  <si>
    <t>Février</t>
  </si>
  <si>
    <t>Semaine 4</t>
  </si>
  <si>
    <t>Semaine 3</t>
  </si>
  <si>
    <t>Semaine 2</t>
  </si>
  <si>
    <t>Semaine 1</t>
  </si>
  <si>
    <t>Janvier</t>
  </si>
  <si>
    <t>L/100KM</t>
  </si>
  <si>
    <t>$ du gaz</t>
  </si>
  <si>
    <t>km par jour</t>
  </si>
  <si>
    <t>Distance Électrique / Saison</t>
  </si>
  <si>
    <t>http://www.desjardins.com/fr/simulateurs/remb_pret_auto/index.jsp?pvm=1</t>
  </si>
  <si>
    <t>Total      Tesla S7D</t>
  </si>
  <si>
    <r>
      <t xml:space="preserve">VÉ paiement 7ans  </t>
    </r>
    <r>
      <rPr>
        <b/>
        <sz val="8"/>
        <color theme="1"/>
        <rFont val="Calibri"/>
        <family val="2"/>
        <scheme val="minor"/>
      </rPr>
      <t xml:space="preserve"> Tesla S7D</t>
    </r>
  </si>
  <si>
    <t>Cumulatif / cumulative     Tesla S70D</t>
  </si>
  <si>
    <t>Paiement par mois tout compris  TESLA</t>
  </si>
  <si>
    <t>Différence par mois  Yaris moins Kia</t>
  </si>
  <si>
    <t>Différence par mois  Yaris moins Volt usagée</t>
  </si>
  <si>
    <t>Différence par mois  Yaris moins Volt neuve</t>
  </si>
  <si>
    <t>Différence par mois  Yaris moins Sparks</t>
  </si>
  <si>
    <t>Différence par mois  Yaris moins Leaf</t>
  </si>
  <si>
    <t>Différence par mois  Yaris moins BMW i3</t>
  </si>
  <si>
    <t>Max kwh recharge</t>
  </si>
  <si>
    <t>Range</t>
  </si>
  <si>
    <t>Cost for Range</t>
  </si>
  <si>
    <t>Cost per 100kms</t>
  </si>
  <si>
    <t>kwh</t>
  </si>
  <si>
    <t>Maintenances and Repairs</t>
  </si>
  <si>
    <t>Valeur de voiture actuelle dans 3 ans</t>
  </si>
  <si>
    <t>OPTION DE FAIRE LE MOVE TOUT DE SUITE:</t>
  </si>
  <si>
    <t>Faire le "move" tout de suite va te faire sauver ceci sur 10 ans:</t>
  </si>
  <si>
    <t>Dépense voiture actuelle:</t>
  </si>
  <si>
    <t>THE OPTION TO DO THE MOVE RIGHT NOW</t>
  </si>
  <si>
    <t>Doing the move right now will make you save this over the next 10 years:</t>
  </si>
  <si>
    <t>All costs of actual car :</t>
  </si>
  <si>
    <t>Current car's resale value</t>
  </si>
  <si>
    <t>Current car's resale value in 3 years</t>
  </si>
  <si>
    <t xml:space="preserve">Valeur de voiture actuelle </t>
  </si>
  <si>
    <t>http://www.canadianblackbook.com/fr/</t>
  </si>
  <si>
    <t>minus Current car's resale value in 3 years :</t>
  </si>
  <si>
    <t>minus Valeur voiture dans 3 ans:</t>
  </si>
  <si>
    <t>Waiting 3 years will have for a result of having this amount going up in smoke instead of beeing use to pay the EV loan :</t>
  </si>
  <si>
    <t xml:space="preserve">OPTION D'ATTENDRE 3 ANS AVANT D'ACHETER VÉ            </t>
  </si>
  <si>
    <t>THE OPTION TO WAIT 3 YEARS BEFORE BUYING AN EV</t>
  </si>
  <si>
    <t>http://toutelectrique.ca/</t>
  </si>
  <si>
    <t>http://www.timetoelectrify.ca/</t>
  </si>
  <si>
    <t>Curent, car's resale value :</t>
  </si>
  <si>
    <t>Valeur voiture actuelle:</t>
  </si>
  <si>
    <t>Nombre de litres de pétrole non envoyé dans l'atmosphère en 10 ans :</t>
  </si>
  <si>
    <t>Attendre 3 ans vont faire s'envoler en fumer (littéralement) ceci que vous auriez pu mettre sur le capital du VÉ :</t>
  </si>
  <si>
    <t>Liters of oil prevented to go in the atmosphere  over the next 10 years :</t>
  </si>
  <si>
    <r>
      <rPr>
        <b/>
        <sz val="16"/>
        <color theme="1"/>
        <rFont val="Edwardian Script ITC"/>
        <family val="4"/>
      </rPr>
      <t xml:space="preserve">J </t>
    </r>
    <r>
      <rPr>
        <sz val="16"/>
        <color theme="1"/>
        <rFont val="Calibri"/>
        <family val="2"/>
        <scheme val="minor"/>
      </rPr>
      <t>'</t>
    </r>
    <r>
      <rPr>
        <sz val="11"/>
        <color theme="1"/>
        <rFont val="Calibri"/>
        <family val="2"/>
        <scheme val="minor"/>
      </rPr>
      <t xml:space="preserve">ai fait plusieurs types de feuille de calcul au fil des ans avec différentes variables mais celle-ci serait la feuille la plus optimale pour fournir assez d'informations sans être "pénible" à </t>
    </r>
    <r>
      <rPr>
        <b/>
        <u/>
        <sz val="11"/>
        <color theme="1"/>
        <rFont val="Calibri"/>
        <family val="2"/>
        <scheme val="minor"/>
      </rPr>
      <t>remplir</t>
    </r>
    <r>
      <rPr>
        <sz val="11"/>
        <color theme="1"/>
        <rFont val="Calibri"/>
        <family val="2"/>
        <scheme val="minor"/>
      </rPr>
      <t xml:space="preserve"> et </t>
    </r>
    <r>
      <rPr>
        <b/>
        <u/>
        <sz val="11"/>
        <color theme="1"/>
        <rFont val="Calibri"/>
        <family val="2"/>
        <scheme val="minor"/>
      </rPr>
      <t>comprendre.</t>
    </r>
  </si>
  <si>
    <t>QUI</t>
  </si>
  <si>
    <t>Moi</t>
  </si>
  <si>
    <t>Vé</t>
  </si>
  <si>
    <t>par rapport</t>
  </si>
  <si>
    <t>Mr. M</t>
  </si>
  <si>
    <t>Leaf</t>
  </si>
  <si>
    <t>Jetta GTI 18 mois de paiements restant</t>
  </si>
  <si>
    <t>Attendre 3 ans</t>
  </si>
  <si>
    <t>Scénario "Attendre"</t>
  </si>
  <si>
    <t>Yaris fini de payer depuis longtemps</t>
  </si>
  <si>
    <t>Mr. B</t>
  </si>
  <si>
    <t>Hyunday 2 ans dans les paiements sur 5</t>
  </si>
  <si>
    <t>Subaru</t>
  </si>
  <si>
    <t>Mr. P</t>
  </si>
  <si>
    <t>Mazda 3</t>
  </si>
  <si>
    <t>Ms. K</t>
  </si>
  <si>
    <t>Spark Neuve</t>
  </si>
  <si>
    <t>Garder voiture</t>
  </si>
  <si>
    <t>attendre 2 ans</t>
  </si>
  <si>
    <t>comments</t>
  </si>
  <si>
    <t>Mr. D</t>
  </si>
  <si>
    <t>Garder voiture changer 4 ans voiture 20,000$</t>
  </si>
  <si>
    <t>Volt</t>
  </si>
  <si>
    <t>Acheter voiture à 25,000 et faire 50,000kms/a</t>
  </si>
  <si>
    <t>Ou Tesla pour 10,000$ de moins d'épargne</t>
  </si>
  <si>
    <t>Garder veille voiture2006 5 ans encore!</t>
  </si>
  <si>
    <t>Attendre 5 ans avec la voiture payé!</t>
  </si>
  <si>
    <t>Scrapper vieille voiture 2006 tout de suite et rouler en Leaf Neuve!</t>
  </si>
  <si>
    <t>Scapper voiture de 17 ans et acheter une à 5000$ au lieu d'une Leaf!</t>
  </si>
  <si>
    <t>Ms. I</t>
  </si>
  <si>
    <t>Ms. P.F</t>
  </si>
  <si>
    <t>BMW i3 F.E.</t>
  </si>
  <si>
    <t>Subaru 3 ans</t>
  </si>
  <si>
    <t>Mr. ?</t>
  </si>
  <si>
    <t>Rien! Celui-là est ma première défaite! J'aurais dû deviner! ;)</t>
  </si>
  <si>
    <t>Auto de moman avec un 10$ de temps à autre</t>
  </si>
  <si>
    <t>Mr. J</t>
  </si>
  <si>
    <t>À achenter une auto à 40,000$</t>
  </si>
  <si>
    <t>Voici les démonstrations que j'ai fait à du monde comme vous jusqu'à présent et que j'ai des records (je n'ai pas gardé des records pour beaucoup malheureusement…)</t>
  </si>
  <si>
    <t>Woohoo!!! Scrapper un supositoire d'autobus pour finir en BMW pour moins cher!!!</t>
  </si>
  <si>
    <t>Si je te dis que tu rajoutes 10,000$ sur 10 ans pour scapper ton dinausore et rouler en TESLA tu dis quoi!!!!</t>
  </si>
  <si>
    <t>Tesla S70D</t>
  </si>
  <si>
    <t>Voiture de 5 ans bonne pour 10 encore</t>
  </si>
  <si>
    <t>Incomplet comme chiffre mais quand même pas trop loin</t>
  </si>
  <si>
    <t>Dites-vous que de me laisser vous assister dans vos chiffres augmentes les chances de précisions dans mon expérience à date! (et surtout : c'est gratuit :)</t>
  </si>
  <si>
    <t>Leaf F.E.</t>
  </si>
  <si>
    <t xml:space="preserve"> = Fait le move!</t>
  </si>
  <si>
    <t xml:space="preserve"> = Été avec le ICE :(</t>
  </si>
  <si>
    <t>Pas move à i3 mais hybrid au moins</t>
  </si>
  <si>
    <t>Faire le "move" fait sauver Combien NET! Imaginez "BRUT"!!</t>
  </si>
  <si>
    <t>Attendre 3 ans, Choisi une Volt</t>
  </si>
  <si>
    <t>Maintenances et réparations Tesla par an</t>
  </si>
  <si>
    <t>Paiements par mois moins importants dès le premier mois?</t>
  </si>
  <si>
    <t>Equal</t>
  </si>
  <si>
    <t>Moins de 250$</t>
  </si>
  <si>
    <t>Non</t>
  </si>
  <si>
    <t>Oui et de 150$ dès le 1er mois</t>
  </si>
  <si>
    <t>30$ de plus la 1ere année et après moins</t>
  </si>
  <si>
    <t>90$ de plus les 6 premiers mois et après moins</t>
  </si>
  <si>
    <t>Suppérieur les 3 premièrs années et après moindre</t>
  </si>
  <si>
    <t>Inférieur de 300$ dès le premier mois</t>
  </si>
  <si>
    <t>Inférieur de 200$ 1ere année et exponentiel après</t>
  </si>
  <si>
    <t>Supp de 70$ la 1ere année et inférieur les autres</t>
  </si>
  <si>
    <t>Supp de 300$ les 2ere années et infér. Les autres</t>
  </si>
  <si>
    <t>Cummulatif VÉ</t>
  </si>
  <si>
    <t>Paiement par mois Tesla</t>
  </si>
  <si>
    <t>Paiement par mois BMW i3</t>
  </si>
  <si>
    <t>Cummulatif Voiture à gaz</t>
  </si>
  <si>
    <r>
      <rPr>
        <sz val="11"/>
        <color rgb="FF7030A0"/>
        <rFont val="Calibri"/>
        <family val="2"/>
        <scheme val="minor"/>
      </rPr>
      <t>Différence Auto à gaz - BMW i3</t>
    </r>
    <r>
      <rPr>
        <sz val="11"/>
        <color theme="1"/>
        <rFont val="Calibri"/>
        <family val="2"/>
        <scheme val="minor"/>
      </rPr>
      <t xml:space="preserve">          </t>
    </r>
    <r>
      <rPr>
        <b/>
        <sz val="11"/>
        <color rgb="FFFF0000"/>
        <rFont val="Calibri"/>
        <family val="2"/>
        <scheme val="minor"/>
      </rPr>
      <t>Positif tu payes en pluss</t>
    </r>
  </si>
  <si>
    <r>
      <rPr>
        <sz val="11"/>
        <color rgb="FFC00000"/>
        <rFont val="Calibri"/>
        <family val="2"/>
        <scheme val="minor"/>
      </rPr>
      <t>Différence Auto à gaz - Tesla</t>
    </r>
    <r>
      <rPr>
        <sz val="11"/>
        <color theme="1"/>
        <rFont val="Calibri"/>
        <family val="2"/>
        <scheme val="minor"/>
      </rPr>
      <t xml:space="preserve">               </t>
    </r>
    <r>
      <rPr>
        <b/>
        <sz val="11"/>
        <color rgb="FFFF0000"/>
        <rFont val="Calibri"/>
        <family val="2"/>
        <scheme val="minor"/>
      </rPr>
      <t>Négatif tu payes en moins</t>
    </r>
  </si>
  <si>
    <t xml:space="preserve">     ca vaut quand même la peine économiquement de changer même si la voiture existante n'est pas fini de payer!!!</t>
  </si>
  <si>
    <t xml:space="preserve">     oublier d'inclure le $8,000 du gouvernement et autre rabais (AVEQ etc) et le down paiement que vous faites dessus</t>
  </si>
  <si>
    <t xml:space="preserve">     ex: si vous avez un 2006 fini de payer et que vous pensez changer à "Anné 6" pour une nouvelle alors vous ajoutez les paiements en 6-7-8…etc</t>
  </si>
  <si>
    <t xml:space="preserve">     Plusieur oublient cette très importante variable…. :(</t>
  </si>
  <si>
    <t>Vous avez une section plus bas sur les coups réels de la décision (mauvaise dans pratiquement tous les cas) d'attendre 3 ans</t>
  </si>
  <si>
    <t xml:space="preserve">C'est pas si évident à remplir que ca… alors gênez-vous pas pour me contacter: philjans@gmail.com … c'est VOTRE argent qui est en jeux et </t>
  </si>
  <si>
    <t>Bonjour,</t>
  </si>
  <si>
    <t>Voici une explication rapide du contenu de ce chiffrier:</t>
  </si>
  <si>
    <t>"Démonstration-à-Date":  c'est la section qui démontre sommairement les démonstration que j'ai fait à date et à quel point le monde on été économiquement regagnant!</t>
  </si>
  <si>
    <t>"Comparatif-SideBySide":   C'est la section qui démontre très rapidement et facilement si, aujourd'hui, en partant de zéro combien coute une voiture à essence par rapport aux voiture électriques</t>
  </si>
  <si>
    <t>"Français" :     C'est la vrai section, en Français, où l'on peut vraiment entrer ses propres chiffres et voir le résulta des comparaisons</t>
  </si>
  <si>
    <t>"Anglais":        C'est la même section mais en anglais</t>
  </si>
  <si>
    <t>"LocationOuAchat":   Plusieurs penses que la location, parce que les paiements sont plus bas par mois, revient moins cher…. Détrompez-vous! Et c'est là la section qui le démontre rapidement</t>
  </si>
  <si>
    <t>Les autres sections sont à améliorer dans le future…</t>
  </si>
  <si>
    <t>Hi</t>
  </si>
  <si>
    <t>Here is the explaination of the content of this spreadsheet:</t>
  </si>
  <si>
    <t>"Comparatif-SideBySide":   This section shows quickly  with the minimum of inputs from users, what if: today we buy a gaz engine or an electric car … the costaux voiture électriques</t>
  </si>
  <si>
    <t>"Démonstration-à-Date": This section shows the known demonstration I did so far and how many times people have financial gains of doing the switch right now to Evs</t>
  </si>
  <si>
    <t>"Français" :     This is the real nice section in French where you can input your own numbers and really have a perfect picture of the costs invole in keeping the gas car or going to Evs</t>
  </si>
  <si>
    <t>"Anglais":       This is the real nice section in English where you can input your own numbers and really have a perfect picture of the costs invole in keeping the gas car or going to Evs</t>
  </si>
  <si>
    <t>"LocationOuAchat":   Lots of people thinks that renting, because the montly paiements are lower, costs less on the long run…. That section shows an exemple from 25-85 years old of that and no, renting costs more</t>
  </si>
  <si>
    <r>
      <t xml:space="preserve">VÉ OPTION 1 paiements par année  </t>
    </r>
    <r>
      <rPr>
        <i/>
        <sz val="8"/>
        <color theme="7" tint="-0.499984740745262"/>
        <rFont val="Calibri"/>
        <family val="2"/>
        <scheme val="minor"/>
      </rPr>
      <t xml:space="preserve">*Basé sur le simulateur de Desjardins paiement </t>
    </r>
  </si>
  <si>
    <t>Rabais annuel provenant de l'employeur (cents/kms)</t>
  </si>
  <si>
    <t>Cout Maintenances et réparations par année</t>
  </si>
  <si>
    <t>Cout électrique par année</t>
  </si>
  <si>
    <t>Total VÉ par année</t>
  </si>
  <si>
    <t>Pour le fun: Coût Tesla TOUT compris par année</t>
  </si>
  <si>
    <t>Cummulatif Tesla par année</t>
  </si>
  <si>
    <t>Pour le fun Coût: BMW i3 par année</t>
  </si>
  <si>
    <t>Cummulatif BMW i3 par année</t>
  </si>
  <si>
    <r>
      <t xml:space="preserve">Voiture à Gaz paiements par année </t>
    </r>
    <r>
      <rPr>
        <i/>
        <sz val="8"/>
        <color theme="1"/>
        <rFont val="Calibri"/>
        <family val="2"/>
        <scheme val="minor"/>
      </rPr>
      <t>*basé sur le simulateur Desjardins ou autre</t>
    </r>
  </si>
  <si>
    <t>Cout du Gaz par année</t>
  </si>
  <si>
    <t>Cout Maintenance Reparations items reliées pièces essence par an</t>
  </si>
  <si>
    <t>Cout Total par année</t>
  </si>
  <si>
    <r>
      <t xml:space="preserve">Différence Auto à gaz - Vé option 1   </t>
    </r>
    <r>
      <rPr>
        <b/>
        <sz val="11"/>
        <color rgb="FFFF0000"/>
        <rFont val="Calibri"/>
        <family val="2"/>
        <scheme val="minor"/>
      </rPr>
      <t>Par mois!</t>
    </r>
  </si>
  <si>
    <t>Argent sauvé sur 10 ans avec un VÉ au lieu d'acheter voiture à essence!</t>
  </si>
  <si>
    <t>Argent sauvé sur 10 ans avec une BMW i3 au lieu d'acheter voiture à essence!</t>
  </si>
  <si>
    <t>Argent sauvé sur 10 ans avec une Tesla au lieu d'acheter voiture à essence! (négatif veut dire que la Tesla vous couterait en réalit ceci de plus)</t>
  </si>
  <si>
    <t xml:space="preserve">     vous voulez pas la gaspiller, non! Comprenez qu'on ne peut pas avoir un chiffrier pour tous les cas imaginables alors si vous êtes "hors-normes" parlez-moi en :)</t>
  </si>
  <si>
    <t xml:space="preserve">n.b. Certains vont n'utiliser </t>
  </si>
  <si>
    <t>FAQ</t>
  </si>
  <si>
    <t>"FAQ":                           Des informations générales</t>
  </si>
  <si>
    <t>"FAQ":                            General Information</t>
  </si>
  <si>
    <t>1- Borne:</t>
  </si>
  <si>
    <t>Le gouvernement paye la moitié alors c'est 400-800 (installation comprise) et plusieurs n'utilise que le 110v, d'autres sont en condo ou autres et ont déjà des bornes fournis ou ne vont utiliser que des bornes publiques, ou « les bornes à leur lieu de travail et le 110v à la maison » et d'autres reçoivent la borne gratuitement à l'achat!  etc etc etc...</t>
  </si>
  <si>
    <t>Mais ça dépend de la voiture et de la conduite et de tout un tas de chose. Pour moi personnellement c'est moins et d'autre c'est plus… mais 1,50$ c'est proche du gros max pour tout le monde!</t>
  </si>
  <si>
    <t>Donc, non le $1,5 est TRÈS TRÈS conservateur!</t>
  </si>
  <si>
    <t>3- Borne publique:</t>
  </si>
  <si>
    <t>Comme mentionné... la moitié sont gratuite alors si on ajoute le cout de celle que l’on paie… il faut soustraire le cout de celle qu’on ne paie pas.</t>
  </si>
  <si>
    <t>Et à 95% tu recharges chez toi, sans aller faire un détour dans une station d’essence alors il faudrait soustraire AUSSI le cout du gaz que tu sauves!</t>
  </si>
  <si>
    <t>Et contrairement à remplir chez toi, quand tu vas à la station-service, tant qu’à voir des tablettes de chocolat dans ton visage quand tu reviens chez toi le soir et que tu as faim… tu en achètes alors que « remplir » chez toi tu sauves ces dépenses… faudrait soustraire le 3$ de la tablette de chocolat de ton 1,5$ de ta recharge ce soir là ;)</t>
  </si>
  <si>
    <t>Voici une couple d'information supplémentaire relatif à la comparaison VÉ et voitures à essences</t>
  </si>
  <si>
    <t>Sans compter que sur les 700 bornes public au Québec 350 sont GRATUITES alors il faudrait créditer toutes les fois que le monde vont à ses bornes ...qui sont aussi obligatoirement GRATUITES....</t>
  </si>
  <si>
    <t xml:space="preserve">pluss les milliers de bornes non-publiques fournis par les entreprises </t>
  </si>
  <si>
    <t>2- Estimation du prix de l'électricité par CAA $ au kilomètre:</t>
  </si>
  <si>
    <t>Différence par mois  Yaris moins S70D</t>
  </si>
  <si>
    <t>Avalon</t>
  </si>
  <si>
    <t>Total      Avalon</t>
  </si>
  <si>
    <t>Cumulatif Avalon</t>
  </si>
  <si>
    <t>Paiement par mois tout compris Avalon</t>
  </si>
  <si>
    <t>Maintenances Réparations Avalon</t>
  </si>
  <si>
    <t>Différence par mois  Avalon moins S70D</t>
  </si>
  <si>
    <t>Si vous saviez… ce n'est pas la première fois que CAA se trompe et ils ne métrisent pas l'information sur les VÉs mais s'améliorent... initialement j'avais mis 1$ du 100kms taxes comprise et là pour être SAFE j'ai mis 1,5$ (batterie de 21kwh avec 10% de perte de recharge = 23.1 kwh à 5,5 cents le kwh = $1,2705 *15% de taxes = $1,46 pour 130kms = $1,12 pour 100kms ou $0,91 si l’autonomie est 160kms…) Les voitures à essences utilisent des blocks heaters alors il faudrait leurs rajouter cela!</t>
  </si>
  <si>
    <t>Quand pour $20,000kms tu payes 3000$ par an de gaz : que tu estimes cela à $400 d’électricité au lieu de 350$... Ca ne change pas grand-chose</t>
  </si>
  <si>
    <t>ET il faut AUSSI que tu soustrais le cout du stationnement gratuit qui vient très souvent avec les bornes publiques.  Ex. les bornes de joliette sont gratuites et le stationnement aussi est gratuit! Donc faudrait soustraire 10$ de stationnement à chaque fois qu’on va à une gratuite ce qui fait 5 payantes à $2,5 ou 10 à $1…</t>
  </si>
  <si>
    <t>De plus : la plupart des bornes de niveau 2 vont DEVENIR GRATUITES dans le future à cause de la compétition. C’est comme le wifi… ça va devenir un bonus inclus… Moi je vais toujours au Ramada de Gatineau car ils ont une borne (gratuite) alors si le Best Western installe une borne payante, il va falloir que la chambre soit moins cher pour que j’y aille…</t>
  </si>
  <si>
    <t>Seules les bornes de niveau 3 vont rester payante car dispendieuses à l'implémentation.</t>
  </si>
  <si>
    <t>Tu as un St-Hubert avec une borne à 2,5$ à côté, un Benny avec une borne gratuite tu choisis lequel?? ;)</t>
  </si>
  <si>
    <t>Donc: le cout de l'électricité ne change pas grand-chose au total étant donné que le gaz revient à 10 fois plus cher…</t>
  </si>
  <si>
    <t>Formulaire pour que JE complète avec vous le document : http://goo.gl/1uCouh</t>
  </si>
  <si>
    <t>Mr. H de F</t>
  </si>
  <si>
    <t>Volt ou Leaf même i3</t>
  </si>
  <si>
    <t>Garder voiture de 5 ans 2 ans de plus et changer. 40000kms par ans</t>
  </si>
  <si>
    <t>sur 13 ans</t>
  </si>
  <si>
    <t>Attendre 2 ans!</t>
  </si>
  <si>
    <t>1- Vous devez remplir les champs en bleu uniquement  ====&gt;</t>
  </si>
  <si>
    <t xml:space="preserve">2- Sur la ligne 22, vous entrez les montants par ans pour votre prêt VOITURE ÉLECTRIQUE trouvé sur le site de déjardins (ou autre) mais il faut pas </t>
  </si>
  <si>
    <t>3- Sur la ligne 33, vous entrez les montants par ans pour votre prêt voiture à gaz ou ce qui reste à payer sur celle existante (et oui dans 66 % des cas</t>
  </si>
  <si>
    <t>4- N'oubliez pas de rajouter plus loin sur la ligne 33 l'achat future d'un véhicule à essence car il se peut que vous allez être dû à changer plus tard!!!</t>
  </si>
  <si>
    <t>* ÉTAPES POUR UTILISER CE CHIFFRIER? *</t>
  </si>
  <si>
    <t>Dans mon expérience, ce qui est vraiment le mieux que vous communiquiez avec moi pour qu'on le remplisse ensemble, car il y a beaucoup de détails et il est très difficile de ne pas en oublier un alors n'hésitez pas philjans@gmail.com</t>
  </si>
  <si>
    <t>R</t>
  </si>
  <si>
    <t>Garder vieille huyndai 4 ans</t>
  </si>
  <si>
    <t>-</t>
  </si>
  <si>
    <t>C</t>
  </si>
  <si>
    <t>T</t>
  </si>
  <si>
    <t>F</t>
  </si>
  <si>
    <t>M</t>
  </si>
  <si>
    <t>Kilométrage</t>
  </si>
  <si>
    <t>Milage</t>
  </si>
  <si>
    <t>Mr. A.C</t>
  </si>
  <si>
    <t>Mazda 3 GS à garder encore 5 ans et après changer</t>
  </si>
  <si>
    <t>Leaf intermédiaire</t>
  </si>
  <si>
    <t xml:space="preserve"> +65$ la première année en descente</t>
  </si>
  <si>
    <t>Attendre 5 ans fait très mal!</t>
  </si>
  <si>
    <r>
      <t xml:space="preserve">    Faites vos chiffres comme il le faut, car dans 94,5% des cas vous allez GASPILLER 29,000$...!!! de VOTRE ARGENT si vous n’achetez pas de bolides électriques! Arrêtez de vous fier à vos impressions, c'est une Erreur </t>
    </r>
    <r>
      <rPr>
        <u/>
        <sz val="10"/>
        <color theme="1"/>
        <rFont val="Times New Roman"/>
        <family val="1"/>
      </rPr>
      <t>et faite les calculs!</t>
    </r>
  </si>
  <si>
    <r>
      <t xml:space="preserve">    Vous pensez que d'attendre avant d'acheter une Voiture Électrique et de continuer d'utiliser votre voiture actuelle vous fait sauvez de l'argent… c'est  aussi l'erreur que pratiquement tous font... </t>
    </r>
    <r>
      <rPr>
        <u/>
        <sz val="10"/>
        <color theme="1"/>
        <rFont val="Times New Roman"/>
        <family val="1"/>
      </rPr>
      <t>Faites les calculs à la place!</t>
    </r>
  </si>
  <si>
    <t xml:space="preserve">                  Pour avoir la copie électronique  et mettre vos propres chiffres:</t>
  </si>
  <si>
    <t>Clubs d'électro-mobilité:</t>
  </si>
  <si>
    <t xml:space="preserve">          ...  Le gaz, ça coute vraiment, mais alors vraiment, très cher! Et rouler électrique ça coute 90% MOINS CHER!!!</t>
  </si>
  <si>
    <t xml:space="preserve">          … Prenez ce que vous mettez de gaz par semaine et multipliez le par 654 … ça va vous dire combien vous allez gaspiller en 10 ans!</t>
  </si>
  <si>
    <t xml:space="preserve">   Ce document est mis à jour fréquemment: veuillez utiliser la version en ligne pour avoir les plus récentes informations. Il ne tient en compte que des prix réguliers et aucun spécial!</t>
  </si>
  <si>
    <t>SI VOUS N'AVEZ PAS UNE VOITURE ÉLECTRIQUE, C'EST PROUVÉ! VOUS PERDEZ UNE FORTUNE $$$ (en moyenne 28,000$!!!)</t>
  </si>
  <si>
    <t xml:space="preserve">      NE FAITES PAS LA DISPENDIEUSE ERREUR D'ACHETER UNE VOITURE À GAZ AVANT DE PRENDRE CONSCIENCE DU SECRET SUIVANT:</t>
  </si>
  <si>
    <t>Scénario: Coût d'une Yaris équipée à 21,500$ à l'achat si vous faites 20,000 kilomètres par an, que vous mettez 50$ d'essence par semaine / Cost of an equip Yaris of 21,500$ if you do 12,500 miles a year, and you put 50$ of gas a week.</t>
  </si>
  <si>
    <t>VOUS ALLEZ METTRE DE GAZ SUR 10 ANS CECI:</t>
  </si>
  <si>
    <t>&lt;---  Pourquoi pas garder ce montant colossal dans VOS POCHES???</t>
  </si>
  <si>
    <t>MC</t>
  </si>
  <si>
    <t>Bmw i3 rex</t>
  </si>
  <si>
    <t>Garder une Mazda 2 encore 4 ans et acheter un char à 500/mois après</t>
  </si>
  <si>
    <t>sur 1</t>
  </si>
  <si>
    <t>Cummulatif BMW 320i</t>
  </si>
  <si>
    <t>Paiement par mois tout compris BMW 320i</t>
  </si>
  <si>
    <t>Batteries poulluantes</t>
  </si>
  <si>
    <t>Différence par mois  320i moins BMW i3</t>
  </si>
  <si>
    <t>BMW 320i (la moins cher des BMW après la i3)</t>
  </si>
  <si>
    <t>Total     BMW 320i (la moins cher des BMW après la i3)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</si>
</sst>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0.00\ &quot;$&quot;_);[Red]\(#,##0.00\ &quot;$&quot;\)"/>
    <numFmt numFmtId="44" formatCode="_ * #,##0.00_)\ &quot;$&quot;_ ;_ * \(#,##0.00\)\ &quot;$&quot;_ ;_ * &quot;-&quot;??_)\ &quot;$&quot;_ ;_ @_ "/>
    <numFmt numFmtId="43" formatCode="_ * #,##0.00_)\ _$_ ;_ * \(#,##0.00\)\ _$_ ;_ * &quot;-&quot;??_)\ _$_ ;_ @_ "/>
    <numFmt numFmtId="164" formatCode="_ * #,##0_)\ _$_ ;_ * \(#,##0\)\ _$_ ;_ * &quot;-&quot;??_)\ _$_ ;_ @_ "/>
    <numFmt numFmtId="165" formatCode="yyyy/mm/dd;@"/>
    <numFmt numFmtId="166" formatCode="_ * #,##0_)\ &quot;$&quot;_ ;_ * \(#,##0\)\ &quot;$&quot;_ ;_ * &quot;-&quot;??_)\ &quot;$&quot;_ ;_ @_ "/>
    <numFmt numFmtId="167" formatCode="_ * #,##0.00_)\ &quot;$&quot;_ ;_ * \(#,##0.00\)\ &quot;$&quot;_ ;_ * &quot;-&quot;?????_)\ &quot;$&quot;_ ;_ @_ "/>
    <numFmt numFmtId="168" formatCode="_ * #,##0.00000_)\ &quot;$&quot;_ ;_ * \(#,##0.00000\)\ &quot;$&quot;_ ;_ * &quot;-&quot;??_)\ &quot;$&quot;_ ;_ @_ "/>
  </numFmts>
  <fonts count="60" x14ac:knownFonts="1">
    <font>
      <sz val="11"/>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b/>
      <sz val="11"/>
      <color theme="1"/>
      <name val="Calibri"/>
      <family val="2"/>
      <scheme val="minor"/>
    </font>
    <font>
      <u/>
      <sz val="11"/>
      <color theme="10"/>
      <name val="Calibri"/>
      <family val="2"/>
      <scheme val="minor"/>
    </font>
    <font>
      <b/>
      <sz val="14"/>
      <color rgb="FF00B050"/>
      <name val="Calibri"/>
      <family val="2"/>
      <scheme val="minor"/>
    </font>
    <font>
      <sz val="14"/>
      <color theme="1"/>
      <name val="Calibri"/>
      <family val="2"/>
      <scheme val="minor"/>
    </font>
    <font>
      <b/>
      <u/>
      <sz val="14"/>
      <color theme="1"/>
      <name val="Calibri"/>
      <family val="2"/>
      <scheme val="minor"/>
    </font>
    <font>
      <sz val="8"/>
      <color theme="1"/>
      <name val="Calibri"/>
      <family val="2"/>
      <scheme val="minor"/>
    </font>
    <font>
      <sz val="9"/>
      <color indexed="81"/>
      <name val="Tahoma"/>
      <family val="2"/>
    </font>
    <font>
      <b/>
      <sz val="9"/>
      <color indexed="81"/>
      <name val="Tahoma"/>
      <family val="2"/>
    </font>
    <font>
      <b/>
      <u/>
      <sz val="11"/>
      <color theme="1"/>
      <name val="Calibri"/>
      <family val="2"/>
      <scheme val="minor"/>
    </font>
    <font>
      <i/>
      <sz val="8"/>
      <color theme="1"/>
      <name val="Calibri"/>
      <family val="2"/>
      <scheme val="minor"/>
    </font>
    <font>
      <i/>
      <sz val="11"/>
      <color theme="1"/>
      <name val="Calibri"/>
      <family val="2"/>
      <scheme val="minor"/>
    </font>
    <font>
      <b/>
      <sz val="16"/>
      <color theme="1"/>
      <name val="Edwardian Script ITC"/>
      <family val="4"/>
    </font>
    <font>
      <sz val="16"/>
      <color theme="1"/>
      <name val="Calibri"/>
      <family val="2"/>
      <scheme val="minor"/>
    </font>
    <font>
      <b/>
      <sz val="11"/>
      <color rgb="FF00B050"/>
      <name val="Calibri"/>
      <family val="2"/>
      <scheme val="minor"/>
    </font>
    <font>
      <sz val="11"/>
      <color theme="0" tint="-4.9989318521683403E-2"/>
      <name val="Calibri"/>
      <family val="2"/>
      <scheme val="minor"/>
    </font>
    <font>
      <b/>
      <i/>
      <sz val="36"/>
      <color rgb="FFFFFF00"/>
      <name val="Calibri"/>
      <family val="2"/>
      <scheme val="minor"/>
    </font>
    <font>
      <b/>
      <sz val="28"/>
      <color rgb="FFFFFF00"/>
      <name val="Calibri"/>
      <family val="2"/>
      <scheme val="minor"/>
    </font>
    <font>
      <b/>
      <i/>
      <sz val="18"/>
      <color rgb="FFFFFF00"/>
      <name val="Calibri"/>
      <family val="2"/>
      <scheme val="minor"/>
    </font>
    <font>
      <b/>
      <i/>
      <sz val="24"/>
      <color rgb="FFFFFF00"/>
      <name val="Calibri"/>
      <family val="2"/>
      <scheme val="minor"/>
    </font>
    <font>
      <b/>
      <sz val="8"/>
      <color theme="1"/>
      <name val="Calibri"/>
      <family val="2"/>
      <scheme val="minor"/>
    </font>
    <font>
      <b/>
      <sz val="16"/>
      <color theme="1"/>
      <name val="Calibri"/>
      <family val="2"/>
      <scheme val="minor"/>
    </font>
    <font>
      <sz val="11"/>
      <color theme="0" tint="-0.249977111117893"/>
      <name val="Calibri"/>
      <family val="2"/>
      <scheme val="minor"/>
    </font>
    <font>
      <sz val="8"/>
      <color theme="0" tint="-0.249977111117893"/>
      <name val="Calibri"/>
      <family val="2"/>
      <scheme val="minor"/>
    </font>
    <font>
      <b/>
      <sz val="36"/>
      <color theme="1"/>
      <name val="Calibri"/>
      <family val="2"/>
    </font>
    <font>
      <b/>
      <sz val="24"/>
      <color theme="10"/>
      <name val="Calibri"/>
      <family val="2"/>
      <scheme val="minor"/>
    </font>
    <font>
      <b/>
      <u/>
      <sz val="14"/>
      <color theme="10"/>
      <name val="Calibri"/>
      <family val="2"/>
      <scheme val="minor"/>
    </font>
    <font>
      <b/>
      <u/>
      <sz val="16"/>
      <color theme="1"/>
      <name val="Calibri"/>
      <family val="2"/>
      <scheme val="minor"/>
    </font>
    <font>
      <sz val="9"/>
      <color theme="1"/>
      <name val="Calibri"/>
      <family val="2"/>
      <scheme val="minor"/>
    </font>
    <font>
      <b/>
      <sz val="9"/>
      <color theme="1"/>
      <name val="Calibri"/>
      <family val="2"/>
      <scheme val="minor"/>
    </font>
    <font>
      <b/>
      <i/>
      <sz val="11"/>
      <color theme="1"/>
      <name val="Calibri"/>
      <family val="2"/>
      <scheme val="minor"/>
    </font>
    <font>
      <b/>
      <sz val="14"/>
      <color rgb="FFC00000"/>
      <name val="Calibri"/>
      <family val="2"/>
      <scheme val="minor"/>
    </font>
    <font>
      <b/>
      <sz val="36"/>
      <color rgb="FFC00000"/>
      <name val="Calibri"/>
      <family val="2"/>
    </font>
    <font>
      <b/>
      <sz val="11"/>
      <color rgb="FFC00000"/>
      <name val="Calibri"/>
      <family val="2"/>
      <scheme val="minor"/>
    </font>
    <font>
      <b/>
      <sz val="11"/>
      <color rgb="FFFF0000"/>
      <name val="Calibri"/>
      <family val="2"/>
      <scheme val="minor"/>
    </font>
    <font>
      <b/>
      <sz val="14"/>
      <color theme="1"/>
      <name val="Bodoni MT Condensed"/>
      <family val="1"/>
    </font>
    <font>
      <b/>
      <sz val="14"/>
      <color rgb="FF0070C0"/>
      <name val="Bodoni MT Condensed"/>
      <family val="1"/>
    </font>
    <font>
      <sz val="6"/>
      <color theme="1"/>
      <name val="Calibri"/>
      <family val="2"/>
      <scheme val="minor"/>
    </font>
    <font>
      <b/>
      <sz val="11"/>
      <color rgb="FF0070C0"/>
      <name val="Calibri"/>
      <family val="2"/>
      <scheme val="minor"/>
    </font>
    <font>
      <b/>
      <sz val="12"/>
      <color rgb="FF0070C0"/>
      <name val="Calibri"/>
      <family val="2"/>
      <scheme val="minor"/>
    </font>
    <font>
      <sz val="11"/>
      <color rgb="FFC00000"/>
      <name val="Calibri"/>
      <family val="2"/>
      <scheme val="minor"/>
    </font>
    <font>
      <b/>
      <sz val="12"/>
      <color rgb="FFC00000"/>
      <name val="Calibri"/>
      <family val="2"/>
      <scheme val="minor"/>
    </font>
    <font>
      <sz val="11"/>
      <color rgb="FF7030A0"/>
      <name val="Calibri"/>
      <family val="2"/>
      <scheme val="minor"/>
    </font>
    <font>
      <b/>
      <sz val="12"/>
      <color rgb="FF7030A0"/>
      <name val="Calibri"/>
      <family val="2"/>
      <scheme val="minor"/>
    </font>
    <font>
      <sz val="11"/>
      <color theme="7" tint="-0.499984740745262"/>
      <name val="Calibri"/>
      <family val="2"/>
      <scheme val="minor"/>
    </font>
    <font>
      <i/>
      <sz val="8"/>
      <color theme="7" tint="-0.499984740745262"/>
      <name val="Calibri"/>
      <family val="2"/>
      <scheme val="minor"/>
    </font>
    <font>
      <b/>
      <sz val="11"/>
      <color rgb="FF7030A0"/>
      <name val="Calibri"/>
      <family val="2"/>
      <scheme val="minor"/>
    </font>
    <font>
      <b/>
      <i/>
      <sz val="8"/>
      <color rgb="FF7030A0"/>
      <name val="Times New Roman"/>
      <family val="1"/>
    </font>
    <font>
      <u/>
      <sz val="24"/>
      <color theme="10"/>
      <name val="Calibri"/>
      <family val="2"/>
      <scheme val="minor"/>
    </font>
    <font>
      <u/>
      <sz val="11"/>
      <color rgb="FFFF0000"/>
      <name val="Cambria"/>
      <family val="1"/>
      <scheme val="major"/>
    </font>
    <font>
      <sz val="10"/>
      <color theme="1"/>
      <name val="Times New Roman"/>
      <family val="1"/>
    </font>
    <font>
      <u/>
      <sz val="10"/>
      <color theme="1"/>
      <name val="Times New Roman"/>
      <family val="1"/>
    </font>
    <font>
      <b/>
      <sz val="20"/>
      <color theme="1"/>
      <name val="Calibri"/>
      <family val="2"/>
      <scheme val="minor"/>
    </font>
    <font>
      <b/>
      <i/>
      <sz val="20"/>
      <color theme="1"/>
      <name val="Calibri"/>
      <family val="2"/>
      <scheme val="minor"/>
    </font>
    <font>
      <sz val="20"/>
      <color theme="1"/>
      <name val="Calibri"/>
      <family val="2"/>
      <scheme val="minor"/>
    </font>
    <font>
      <sz val="10"/>
      <color theme="1"/>
      <name val="Calibri"/>
      <family val="2"/>
      <scheme val="minor"/>
    </font>
    <font>
      <b/>
      <u/>
      <sz val="26"/>
      <color theme="1"/>
      <name val="Calibri"/>
      <family val="2"/>
      <scheme val="minor"/>
    </font>
  </fonts>
  <fills count="15">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4F7FA"/>
        <bgColor indexed="64"/>
      </patternFill>
    </fill>
  </fills>
  <borders count="5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rgb="FFFF0000"/>
      </left>
      <right style="medium">
        <color indexed="64"/>
      </right>
      <top style="thick">
        <color rgb="FFFF0000"/>
      </top>
      <bottom/>
      <diagonal/>
    </border>
    <border>
      <left style="thick">
        <color rgb="FFFF0000"/>
      </left>
      <right style="medium">
        <color indexed="64"/>
      </right>
      <top/>
      <bottom/>
      <diagonal/>
    </border>
    <border>
      <left style="thick">
        <color rgb="FFFF0000"/>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48">
    <xf numFmtId="0" fontId="0" fillId="0" borderId="0" xfId="0"/>
    <xf numFmtId="44" fontId="0" fillId="0" borderId="0" xfId="1" applyFont="1"/>
    <xf numFmtId="0" fontId="3" fillId="0" borderId="0" xfId="0" applyFont="1"/>
    <xf numFmtId="0" fontId="0" fillId="0" borderId="1" xfId="0" applyBorder="1"/>
    <xf numFmtId="0" fontId="0" fillId="0" borderId="6" xfId="0" applyBorder="1"/>
    <xf numFmtId="9" fontId="0" fillId="0" borderId="2" xfId="0" applyNumberFormat="1" applyFill="1" applyBorder="1"/>
    <xf numFmtId="9" fontId="0" fillId="0" borderId="4" xfId="0" applyNumberFormat="1" applyFill="1" applyBorder="1"/>
    <xf numFmtId="0" fontId="0" fillId="0" borderId="1" xfId="0" applyBorder="1" applyAlignment="1">
      <alignment wrapText="1"/>
    </xf>
    <xf numFmtId="44" fontId="0" fillId="0" borderId="7" xfId="0" applyNumberFormat="1" applyBorder="1"/>
    <xf numFmtId="44" fontId="0" fillId="0" borderId="8" xfId="1" applyFont="1" applyBorder="1"/>
    <xf numFmtId="0" fontId="6" fillId="0" borderId="0" xfId="0" applyFont="1" applyAlignment="1">
      <alignment horizontal="right"/>
    </xf>
    <xf numFmtId="44" fontId="0" fillId="0" borderId="11" xfId="0" applyNumberFormat="1" applyBorder="1"/>
    <xf numFmtId="0" fontId="4" fillId="0" borderId="1" xfId="0" applyFont="1" applyBorder="1"/>
    <xf numFmtId="0" fontId="4" fillId="0" borderId="0" xfId="0" applyFont="1"/>
    <xf numFmtId="0" fontId="7" fillId="0" borderId="0" xfId="0" applyFont="1" applyAlignment="1">
      <alignment horizontal="right"/>
    </xf>
    <xf numFmtId="0" fontId="4" fillId="0" borderId="0" xfId="0" applyFont="1" applyAlignment="1">
      <alignment horizontal="center"/>
    </xf>
    <xf numFmtId="44" fontId="0" fillId="2" borderId="13" xfId="1" applyFont="1" applyFill="1" applyBorder="1"/>
    <xf numFmtId="44" fontId="0" fillId="2" borderId="14" xfId="1" applyFont="1" applyFill="1" applyBorder="1"/>
    <xf numFmtId="44" fontId="0" fillId="2" borderId="0" xfId="1" applyFont="1" applyFill="1" applyBorder="1"/>
    <xf numFmtId="44" fontId="0" fillId="2" borderId="16" xfId="1" applyFont="1" applyFill="1" applyBorder="1"/>
    <xf numFmtId="0" fontId="0" fillId="3" borderId="15" xfId="0" applyFill="1" applyBorder="1"/>
    <xf numFmtId="44" fontId="0" fillId="3" borderId="0" xfId="1" applyFont="1" applyFill="1" applyBorder="1"/>
    <xf numFmtId="44" fontId="0" fillId="3" borderId="16" xfId="1" applyFont="1" applyFill="1" applyBorder="1"/>
    <xf numFmtId="0" fontId="0" fillId="3" borderId="17" xfId="0" applyFill="1" applyBorder="1"/>
    <xf numFmtId="44" fontId="0" fillId="3" borderId="18" xfId="0" applyNumberFormat="1" applyFill="1" applyBorder="1"/>
    <xf numFmtId="0" fontId="0" fillId="3" borderId="12" xfId="0" applyFill="1" applyBorder="1"/>
    <xf numFmtId="0" fontId="0" fillId="4" borderId="15" xfId="0" applyFill="1" applyBorder="1"/>
    <xf numFmtId="44" fontId="0" fillId="4" borderId="0" xfId="1" applyFont="1" applyFill="1" applyBorder="1"/>
    <xf numFmtId="44" fontId="0" fillId="4" borderId="16" xfId="1" applyFont="1" applyFill="1" applyBorder="1"/>
    <xf numFmtId="0" fontId="0" fillId="4" borderId="17" xfId="0" applyFill="1" applyBorder="1"/>
    <xf numFmtId="44" fontId="0" fillId="4" borderId="18" xfId="1" applyFont="1" applyFill="1" applyBorder="1"/>
    <xf numFmtId="0" fontId="0" fillId="4" borderId="12" xfId="0" applyFill="1" applyBorder="1"/>
    <xf numFmtId="44" fontId="0" fillId="3" borderId="8" xfId="0" applyNumberFormat="1" applyFill="1" applyBorder="1"/>
    <xf numFmtId="0" fontId="0" fillId="3" borderId="8" xfId="0" applyFill="1" applyBorder="1"/>
    <xf numFmtId="44" fontId="2" fillId="3" borderId="10" xfId="0" applyNumberFormat="1" applyFont="1" applyFill="1" applyBorder="1"/>
    <xf numFmtId="44" fontId="0" fillId="4" borderId="7" xfId="0" applyNumberFormat="1" applyFill="1" applyBorder="1"/>
    <xf numFmtId="44" fontId="0" fillId="4" borderId="8" xfId="0" applyNumberFormat="1" applyFill="1" applyBorder="1"/>
    <xf numFmtId="44" fontId="2" fillId="4" borderId="9" xfId="1" applyFont="1" applyFill="1" applyBorder="1"/>
    <xf numFmtId="44" fontId="2" fillId="4" borderId="10" xfId="1" applyFont="1" applyFill="1" applyBorder="1"/>
    <xf numFmtId="44" fontId="2" fillId="4" borderId="8" xfId="1" applyFont="1" applyFill="1" applyBorder="1"/>
    <xf numFmtId="44" fontId="0" fillId="0" borderId="0" xfId="0" applyNumberFormat="1" applyBorder="1"/>
    <xf numFmtId="0" fontId="9" fillId="0" borderId="0" xfId="0" applyFont="1"/>
    <xf numFmtId="44" fontId="9" fillId="0" borderId="0" xfId="0" applyNumberFormat="1" applyFont="1"/>
    <xf numFmtId="0" fontId="0" fillId="2" borderId="2" xfId="0" applyFill="1" applyBorder="1" applyAlignment="1">
      <alignment horizontal="center"/>
    </xf>
    <xf numFmtId="44" fontId="0" fillId="2" borderId="2" xfId="1" applyFont="1" applyFill="1" applyBorder="1" applyAlignment="1">
      <alignment horizontal="center"/>
    </xf>
    <xf numFmtId="10" fontId="0" fillId="0" borderId="2" xfId="0" applyNumberFormat="1" applyFill="1" applyBorder="1" applyAlignment="1">
      <alignment horizontal="center"/>
    </xf>
    <xf numFmtId="9" fontId="0" fillId="2" borderId="2" xfId="0" applyNumberFormat="1" applyFill="1" applyBorder="1" applyAlignment="1">
      <alignment horizontal="center"/>
    </xf>
    <xf numFmtId="164" fontId="0" fillId="2" borderId="2" xfId="3" applyNumberFormat="1" applyFont="1" applyFill="1" applyBorder="1" applyAlignment="1">
      <alignment horizontal="center"/>
    </xf>
    <xf numFmtId="165" fontId="0" fillId="2" borderId="2" xfId="0" applyNumberFormat="1" applyFill="1" applyBorder="1" applyAlignment="1">
      <alignment horizontal="center"/>
    </xf>
    <xf numFmtId="43" fontId="0" fillId="5" borderId="2" xfId="3" applyFont="1" applyFill="1" applyBorder="1" applyAlignment="1">
      <alignment horizontal="center"/>
    </xf>
    <xf numFmtId="0" fontId="3" fillId="0" borderId="5" xfId="0" applyFont="1" applyBorder="1"/>
    <xf numFmtId="0" fontId="5" fillId="0" borderId="3" xfId="2" applyBorder="1"/>
    <xf numFmtId="44" fontId="4" fillId="4" borderId="0" xfId="1" applyFont="1" applyFill="1" applyBorder="1"/>
    <xf numFmtId="0" fontId="4" fillId="4" borderId="15" xfId="0" applyFont="1" applyFill="1" applyBorder="1"/>
    <xf numFmtId="0" fontId="4" fillId="3" borderId="15" xfId="0" applyFont="1" applyFill="1" applyBorder="1"/>
    <xf numFmtId="0" fontId="5" fillId="0" borderId="0" xfId="2"/>
    <xf numFmtId="0" fontId="0" fillId="0" borderId="0" xfId="0" applyAlignment="1">
      <alignment vertical="center"/>
    </xf>
    <xf numFmtId="0" fontId="17" fillId="0" borderId="0" xfId="0" applyFont="1"/>
    <xf numFmtId="44" fontId="4" fillId="3" borderId="0" xfId="1" applyFont="1" applyFill="1" applyBorder="1"/>
    <xf numFmtId="0" fontId="3" fillId="0" borderId="14" xfId="0" applyFont="1" applyBorder="1"/>
    <xf numFmtId="44" fontId="0" fillId="0" borderId="15" xfId="0" applyNumberFormat="1" applyBorder="1"/>
    <xf numFmtId="44" fontId="0" fillId="0" borderId="17" xfId="0" applyNumberFormat="1" applyBorder="1"/>
    <xf numFmtId="44" fontId="0" fillId="4" borderId="8" xfId="1" applyFont="1" applyFill="1" applyBorder="1"/>
    <xf numFmtId="44" fontId="4" fillId="3" borderId="8" xfId="1" applyFont="1" applyFill="1" applyBorder="1"/>
    <xf numFmtId="0" fontId="3" fillId="0" borderId="7" xfId="0" applyFont="1" applyBorder="1"/>
    <xf numFmtId="0" fontId="3" fillId="0" borderId="11" xfId="0" applyFont="1" applyBorder="1"/>
    <xf numFmtId="0" fontId="3" fillId="0" borderId="8" xfId="0" applyFont="1" applyBorder="1"/>
    <xf numFmtId="44" fontId="2" fillId="3" borderId="8" xfId="0" applyNumberFormat="1" applyFont="1" applyFill="1" applyBorder="1"/>
    <xf numFmtId="0" fontId="0" fillId="4" borderId="0" xfId="0" applyFill="1" applyBorder="1"/>
    <xf numFmtId="44" fontId="4" fillId="0" borderId="0" xfId="0" applyNumberFormat="1" applyFont="1" applyBorder="1"/>
    <xf numFmtId="44" fontId="4" fillId="0" borderId="4" xfId="0" applyNumberFormat="1" applyFont="1" applyBorder="1"/>
    <xf numFmtId="0" fontId="4" fillId="0" borderId="20" xfId="0" applyFont="1" applyBorder="1" applyAlignment="1">
      <alignment horizontal="right"/>
    </xf>
    <xf numFmtId="0" fontId="0" fillId="0" borderId="20" xfId="0" applyBorder="1"/>
    <xf numFmtId="44" fontId="0" fillId="0" borderId="20" xfId="0" applyNumberFormat="1" applyBorder="1"/>
    <xf numFmtId="0" fontId="0" fillId="0" borderId="3" xfId="0" applyBorder="1"/>
    <xf numFmtId="1" fontId="0" fillId="0" borderId="0" xfId="0" applyNumberFormat="1"/>
    <xf numFmtId="44" fontId="0" fillId="0" borderId="0" xfId="0" applyNumberFormat="1"/>
    <xf numFmtId="44" fontId="0" fillId="0" borderId="21" xfId="0" applyNumberFormat="1" applyBorder="1"/>
    <xf numFmtId="44" fontId="0" fillId="0" borderId="18" xfId="0" applyNumberFormat="1" applyBorder="1"/>
    <xf numFmtId="0" fontId="0" fillId="0" borderId="19" xfId="0" applyBorder="1"/>
    <xf numFmtId="0" fontId="0" fillId="0" borderId="18" xfId="0" applyBorder="1"/>
    <xf numFmtId="167" fontId="0" fillId="0" borderId="17" xfId="0" applyNumberFormat="1" applyBorder="1"/>
    <xf numFmtId="0" fontId="0" fillId="0" borderId="0" xfId="0" applyBorder="1"/>
    <xf numFmtId="44" fontId="0" fillId="0" borderId="19" xfId="0" applyNumberFormat="1" applyBorder="1"/>
    <xf numFmtId="1" fontId="0" fillId="0" borderId="0" xfId="0" applyNumberFormat="1" applyAlignment="1">
      <alignment horizontal="left" indent="1"/>
    </xf>
    <xf numFmtId="44" fontId="0" fillId="0" borderId="0" xfId="1" applyFont="1" applyBorder="1"/>
    <xf numFmtId="44" fontId="0" fillId="0" borderId="2" xfId="1" applyFont="1" applyBorder="1"/>
    <xf numFmtId="44" fontId="4" fillId="0" borderId="16" xfId="1" applyFont="1" applyBorder="1"/>
    <xf numFmtId="167" fontId="0" fillId="0" borderId="15" xfId="0" applyNumberFormat="1" applyBorder="1"/>
    <xf numFmtId="44" fontId="0" fillId="0" borderId="15" xfId="1" applyFont="1" applyBorder="1"/>
    <xf numFmtId="9" fontId="0" fillId="0" borderId="1" xfId="0" applyNumberFormat="1" applyBorder="1"/>
    <xf numFmtId="9" fontId="0" fillId="0" borderId="1" xfId="4" applyFont="1" applyBorder="1"/>
    <xf numFmtId="0" fontId="0" fillId="0" borderId="0" xfId="0" applyFill="1" applyBorder="1"/>
    <xf numFmtId="0" fontId="0" fillId="0" borderId="22" xfId="0" applyBorder="1"/>
    <xf numFmtId="0" fontId="0" fillId="0" borderId="13" xfId="0" applyBorder="1"/>
    <xf numFmtId="0" fontId="4" fillId="0" borderId="23" xfId="0" applyFont="1"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 fillId="0" borderId="28" xfId="0" applyFont="1" applyBorder="1"/>
    <xf numFmtId="0" fontId="0" fillId="0" borderId="29" xfId="0" applyBorder="1"/>
    <xf numFmtId="168" fontId="0" fillId="0" borderId="0" xfId="0" applyNumberFormat="1"/>
    <xf numFmtId="16" fontId="0" fillId="0" borderId="0" xfId="0" applyNumberFormat="1"/>
    <xf numFmtId="0" fontId="18" fillId="0" borderId="0" xfId="0" applyFont="1" applyAlignment="1">
      <alignment horizontal="center"/>
    </xf>
    <xf numFmtId="9" fontId="4" fillId="0" borderId="0" xfId="4" applyFont="1"/>
    <xf numFmtId="0" fontId="4" fillId="0" borderId="0" xfId="0" applyFont="1" applyAlignment="1">
      <alignment horizontal="right"/>
    </xf>
    <xf numFmtId="44" fontId="4" fillId="0" borderId="0" xfId="0" applyNumberFormat="1" applyFont="1"/>
    <xf numFmtId="44" fontId="0" fillId="0" borderId="23" xfId="0" applyNumberFormat="1" applyBorder="1"/>
    <xf numFmtId="0" fontId="4" fillId="0" borderId="24" xfId="0" applyFont="1" applyBorder="1"/>
    <xf numFmtId="0" fontId="4" fillId="0" borderId="25" xfId="0" applyFont="1" applyBorder="1"/>
    <xf numFmtId="0" fontId="18" fillId="0" borderId="19" xfId="0" applyFont="1" applyBorder="1" applyAlignment="1">
      <alignment horizontal="center"/>
    </xf>
    <xf numFmtId="0" fontId="18" fillId="0" borderId="18" xfId="0" applyFont="1" applyBorder="1" applyAlignment="1">
      <alignment horizontal="center"/>
    </xf>
    <xf numFmtId="0" fontId="18" fillId="0" borderId="17" xfId="0" applyFont="1" applyBorder="1" applyAlignment="1">
      <alignment horizontal="center"/>
    </xf>
    <xf numFmtId="0" fontId="18" fillId="0" borderId="11" xfId="0" applyFont="1" applyBorder="1" applyAlignment="1">
      <alignment horizontal="center"/>
    </xf>
    <xf numFmtId="44" fontId="0" fillId="0" borderId="16" xfId="1" applyFont="1" applyBorder="1"/>
    <xf numFmtId="0" fontId="0" fillId="0" borderId="15" xfId="0" applyBorder="1"/>
    <xf numFmtId="0" fontId="4" fillId="0" borderId="11" xfId="0" applyFont="1" applyBorder="1"/>
    <xf numFmtId="0" fontId="18" fillId="0" borderId="16" xfId="0" applyFont="1" applyBorder="1" applyAlignment="1">
      <alignment horizontal="center"/>
    </xf>
    <xf numFmtId="0" fontId="18" fillId="0" borderId="0" xfId="0" applyFont="1" applyBorder="1" applyAlignment="1">
      <alignment horizontal="center"/>
    </xf>
    <xf numFmtId="0" fontId="18" fillId="0" borderId="15" xfId="0" applyFont="1" applyBorder="1" applyAlignment="1">
      <alignment horizontal="center"/>
    </xf>
    <xf numFmtId="0" fontId="18" fillId="0" borderId="8" xfId="0" applyFont="1" applyBorder="1" applyAlignment="1">
      <alignment horizontal="center"/>
    </xf>
    <xf numFmtId="0" fontId="0" fillId="0" borderId="8" xfId="0" applyBorder="1"/>
    <xf numFmtId="0" fontId="18" fillId="0" borderId="14" xfId="0" applyFont="1" applyBorder="1" applyAlignment="1">
      <alignment horizontal="center"/>
    </xf>
    <xf numFmtId="0" fontId="18" fillId="0" borderId="13" xfId="0" applyFont="1" applyBorder="1" applyAlignment="1">
      <alignment horizontal="center"/>
    </xf>
    <xf numFmtId="0" fontId="18" fillId="0" borderId="12"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17" xfId="0" applyFont="1" applyBorder="1" applyAlignment="1">
      <alignment horizontal="center"/>
    </xf>
    <xf numFmtId="0" fontId="4" fillId="0" borderId="7" xfId="0" applyFont="1" applyBorder="1"/>
    <xf numFmtId="166" fontId="19" fillId="4" borderId="15" xfId="0" applyNumberFormat="1" applyFont="1" applyFill="1" applyBorder="1"/>
    <xf numFmtId="44" fontId="20" fillId="6" borderId="24" xfId="1" applyFont="1" applyFill="1" applyBorder="1"/>
    <xf numFmtId="44" fontId="20" fillId="6" borderId="24" xfId="0" applyNumberFormat="1" applyFont="1" applyFill="1" applyBorder="1"/>
    <xf numFmtId="44" fontId="0" fillId="3" borderId="0" xfId="0" applyNumberFormat="1" applyFill="1" applyBorder="1"/>
    <xf numFmtId="44" fontId="0" fillId="3" borderId="16" xfId="0" applyNumberFormat="1" applyFill="1" applyBorder="1"/>
    <xf numFmtId="166" fontId="21" fillId="4" borderId="11" xfId="0" applyNumberFormat="1" applyFont="1" applyFill="1" applyBorder="1"/>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44" fontId="1" fillId="7" borderId="28" xfId="1" applyFont="1" applyFill="1" applyBorder="1"/>
    <xf numFmtId="0" fontId="4" fillId="7" borderId="29" xfId="0" applyFont="1" applyFill="1" applyBorder="1" applyAlignment="1">
      <alignment horizontal="left"/>
    </xf>
    <xf numFmtId="44" fontId="1" fillId="7" borderId="30" xfId="1" applyFont="1" applyFill="1" applyBorder="1"/>
    <xf numFmtId="0" fontId="4" fillId="7" borderId="5" xfId="0" applyFont="1" applyFill="1" applyBorder="1" applyAlignment="1">
      <alignment horizontal="left"/>
    </xf>
    <xf numFmtId="44" fontId="1" fillId="7" borderId="4" xfId="1" applyFont="1" applyFill="1" applyBorder="1"/>
    <xf numFmtId="44" fontId="1" fillId="7" borderId="20" xfId="1" applyFont="1" applyFill="1" applyBorder="1"/>
    <xf numFmtId="0" fontId="0" fillId="7" borderId="3" xfId="0" applyFill="1" applyBorder="1"/>
    <xf numFmtId="44" fontId="1" fillId="7" borderId="2" xfId="1" applyFont="1" applyFill="1" applyBorder="1"/>
    <xf numFmtId="44" fontId="1" fillId="7" borderId="0" xfId="1" applyFont="1" applyFill="1" applyBorder="1"/>
    <xf numFmtId="0" fontId="0" fillId="7" borderId="1" xfId="0" applyFill="1" applyBorder="1"/>
    <xf numFmtId="0" fontId="2" fillId="0" borderId="0" xfId="0" applyFont="1" applyAlignment="1">
      <alignment horizontal="right"/>
    </xf>
    <xf numFmtId="0" fontId="24" fillId="0" borderId="0" xfId="0" applyFont="1"/>
    <xf numFmtId="0" fontId="25" fillId="0" borderId="0" xfId="0" applyFont="1"/>
    <xf numFmtId="0" fontId="26" fillId="0" borderId="0" xfId="0" applyFont="1"/>
    <xf numFmtId="0" fontId="0" fillId="0" borderId="17" xfId="0" applyBorder="1"/>
    <xf numFmtId="44" fontId="4" fillId="7" borderId="6" xfId="1" applyFont="1" applyFill="1" applyBorder="1"/>
    <xf numFmtId="44" fontId="4" fillId="7" borderId="27" xfId="1" applyFont="1" applyFill="1" applyBorder="1"/>
    <xf numFmtId="0" fontId="0" fillId="8" borderId="29" xfId="0" applyFill="1" applyBorder="1"/>
    <xf numFmtId="44" fontId="1" fillId="8" borderId="28" xfId="1" applyFont="1" applyFill="1" applyBorder="1"/>
    <xf numFmtId="44" fontId="1" fillId="8" borderId="27" xfId="1" applyFont="1" applyFill="1" applyBorder="1"/>
    <xf numFmtId="0" fontId="0" fillId="8" borderId="1" xfId="0" applyFill="1" applyBorder="1"/>
    <xf numFmtId="44" fontId="1" fillId="8" borderId="0" xfId="1" applyFont="1" applyFill="1" applyBorder="1"/>
    <xf numFmtId="44" fontId="1" fillId="8" borderId="2" xfId="1" applyFont="1" applyFill="1" applyBorder="1"/>
    <xf numFmtId="0" fontId="0" fillId="8" borderId="3" xfId="0" applyFill="1" applyBorder="1"/>
    <xf numFmtId="44" fontId="1" fillId="8" borderId="20" xfId="1" applyFont="1" applyFill="1" applyBorder="1"/>
    <xf numFmtId="44" fontId="1" fillId="8" borderId="4" xfId="1" applyFont="1" applyFill="1" applyBorder="1"/>
    <xf numFmtId="0" fontId="4" fillId="8" borderId="29" xfId="0" applyFont="1" applyFill="1" applyBorder="1" applyAlignment="1">
      <alignment horizontal="left"/>
    </xf>
    <xf numFmtId="44" fontId="4" fillId="8" borderId="27" xfId="1" applyFont="1" applyFill="1" applyBorder="1"/>
    <xf numFmtId="0" fontId="4" fillId="8" borderId="1" xfId="0" applyFont="1" applyFill="1" applyBorder="1" applyAlignment="1">
      <alignment horizontal="left"/>
    </xf>
    <xf numFmtId="44" fontId="4" fillId="8" borderId="2" xfId="1" applyFont="1" applyFill="1" applyBorder="1"/>
    <xf numFmtId="0" fontId="4" fillId="8" borderId="3" xfId="0" applyFont="1" applyFill="1" applyBorder="1" applyAlignment="1">
      <alignment horizontal="left"/>
    </xf>
    <xf numFmtId="44" fontId="4" fillId="8" borderId="4" xfId="1" applyFont="1" applyFill="1" applyBorder="1"/>
    <xf numFmtId="44" fontId="4" fillId="8" borderId="31" xfId="1" applyFont="1" applyFill="1" applyBorder="1"/>
    <xf numFmtId="44" fontId="4" fillId="8" borderId="32" xfId="1" applyFont="1" applyFill="1" applyBorder="1"/>
    <xf numFmtId="44" fontId="4" fillId="8" borderId="33" xfId="1" applyFont="1" applyFill="1" applyBorder="1"/>
    <xf numFmtId="44" fontId="1" fillId="9" borderId="0" xfId="1" applyFont="1" applyFill="1"/>
    <xf numFmtId="0" fontId="3" fillId="0" borderId="0" xfId="0" applyFont="1" applyAlignment="1">
      <alignment horizontal="right"/>
    </xf>
    <xf numFmtId="44" fontId="4" fillId="0" borderId="0" xfId="0" applyNumberFormat="1" applyFont="1" applyBorder="1" applyAlignment="1">
      <alignment horizontal="right"/>
    </xf>
    <xf numFmtId="0" fontId="12" fillId="0" borderId="0" xfId="2" applyFont="1"/>
    <xf numFmtId="0" fontId="27" fillId="0" borderId="0" xfId="0" applyFont="1" applyAlignment="1">
      <alignment horizontal="center"/>
    </xf>
    <xf numFmtId="0" fontId="28" fillId="0" borderId="0" xfId="2" applyFont="1" applyAlignment="1">
      <alignment horizontal="right"/>
    </xf>
    <xf numFmtId="0" fontId="29" fillId="0" borderId="0" xfId="2" applyFont="1"/>
    <xf numFmtId="44" fontId="31" fillId="7" borderId="30" xfId="1" applyFont="1" applyFill="1" applyBorder="1"/>
    <xf numFmtId="44" fontId="32" fillId="7" borderId="6" xfId="1" applyFont="1" applyFill="1" applyBorder="1"/>
    <xf numFmtId="0" fontId="34" fillId="0" borderId="0" xfId="0" applyFont="1" applyAlignment="1">
      <alignment horizontal="right"/>
    </xf>
    <xf numFmtId="0" fontId="35" fillId="0" borderId="0" xfId="0" applyFont="1" applyAlignment="1">
      <alignment horizontal="center"/>
    </xf>
    <xf numFmtId="0" fontId="36" fillId="0" borderId="0" xfId="0" applyFont="1" applyAlignment="1">
      <alignment horizontal="right"/>
    </xf>
    <xf numFmtId="0" fontId="29" fillId="0" borderId="0" xfId="2" applyFont="1" applyAlignment="1">
      <alignment horizontal="right"/>
    </xf>
    <xf numFmtId="0" fontId="0" fillId="10" borderId="0" xfId="0" applyFill="1"/>
    <xf numFmtId="0" fontId="4" fillId="0" borderId="20" xfId="0" applyFont="1" applyBorder="1" applyAlignment="1">
      <alignment horizontal="center"/>
    </xf>
    <xf numFmtId="0" fontId="0" fillId="2" borderId="2" xfId="0" applyNumberFormat="1" applyFill="1" applyBorder="1" applyAlignment="1">
      <alignment horizontal="center"/>
    </xf>
    <xf numFmtId="0" fontId="4" fillId="7" borderId="0" xfId="0" applyFont="1" applyFill="1" applyBorder="1" applyAlignment="1">
      <alignment horizontal="right"/>
    </xf>
    <xf numFmtId="0" fontId="0" fillId="0" borderId="37" xfId="0" applyBorder="1"/>
    <xf numFmtId="44" fontId="0" fillId="0" borderId="38" xfId="0" applyNumberFormat="1" applyBorder="1"/>
    <xf numFmtId="0" fontId="0" fillId="7" borderId="37" xfId="0" applyFill="1" applyBorder="1"/>
    <xf numFmtId="44" fontId="4" fillId="7" borderId="38" xfId="0" applyNumberFormat="1" applyFont="1" applyFill="1" applyBorder="1"/>
    <xf numFmtId="44" fontId="4" fillId="7" borderId="38" xfId="1" applyFont="1" applyFill="1" applyBorder="1"/>
    <xf numFmtId="0" fontId="0" fillId="0" borderId="2" xfId="0" applyNumberFormat="1" applyFill="1" applyBorder="1" applyAlignment="1">
      <alignment horizontal="center"/>
    </xf>
    <xf numFmtId="0" fontId="5" fillId="0" borderId="1" xfId="2" applyBorder="1"/>
    <xf numFmtId="0" fontId="5" fillId="0" borderId="0" xfId="2" applyFill="1" applyBorder="1"/>
    <xf numFmtId="0" fontId="5" fillId="0" borderId="0" xfId="2" applyFont="1" applyAlignment="1">
      <alignment horizontal="left"/>
    </xf>
    <xf numFmtId="0" fontId="4" fillId="11" borderId="37" xfId="0" applyFont="1" applyFill="1" applyBorder="1" applyAlignment="1">
      <alignment horizontal="right"/>
    </xf>
    <xf numFmtId="44" fontId="4" fillId="11" borderId="38" xfId="0" applyNumberFormat="1" applyFont="1" applyFill="1" applyBorder="1"/>
    <xf numFmtId="44" fontId="37" fillId="7" borderId="38" xfId="0" applyNumberFormat="1" applyFont="1" applyFill="1" applyBorder="1"/>
    <xf numFmtId="0" fontId="4" fillId="7" borderId="40" xfId="0" applyFont="1" applyFill="1" applyBorder="1" applyAlignment="1">
      <alignment horizontal="right"/>
    </xf>
    <xf numFmtId="0" fontId="4" fillId="7" borderId="39" xfId="0" applyFont="1" applyFill="1" applyBorder="1" applyAlignment="1"/>
    <xf numFmtId="1" fontId="37" fillId="7" borderId="41" xfId="0" applyNumberFormat="1" applyFont="1" applyFill="1" applyBorder="1" applyAlignment="1">
      <alignment horizontal="center"/>
    </xf>
    <xf numFmtId="44" fontId="4" fillId="0" borderId="0" xfId="1" applyFont="1"/>
    <xf numFmtId="44" fontId="0" fillId="0" borderId="0" xfId="1" applyFont="1" applyAlignment="1">
      <alignment horizontal="right"/>
    </xf>
    <xf numFmtId="165" fontId="4" fillId="0" borderId="0" xfId="0" applyNumberFormat="1" applyFont="1"/>
    <xf numFmtId="0" fontId="3" fillId="0" borderId="20" xfId="0" applyFont="1" applyBorder="1"/>
    <xf numFmtId="44" fontId="3" fillId="0" borderId="20" xfId="1" applyFont="1" applyBorder="1"/>
    <xf numFmtId="0" fontId="3" fillId="0" borderId="0" xfId="0" applyFont="1" applyBorder="1"/>
    <xf numFmtId="44" fontId="3" fillId="0" borderId="0" xfId="1" applyFont="1" applyBorder="1"/>
    <xf numFmtId="0" fontId="38" fillId="0" borderId="20" xfId="0" applyFont="1" applyBorder="1"/>
    <xf numFmtId="0" fontId="38" fillId="0" borderId="0" xfId="0" applyFont="1" applyBorder="1"/>
    <xf numFmtId="165" fontId="39" fillId="0" borderId="20" xfId="0" applyNumberFormat="1" applyFont="1" applyBorder="1"/>
    <xf numFmtId="165" fontId="39" fillId="0" borderId="0" xfId="0" applyNumberFormat="1" applyFont="1" applyBorder="1"/>
    <xf numFmtId="44" fontId="9" fillId="0" borderId="0" xfId="1" applyFont="1"/>
    <xf numFmtId="44" fontId="9" fillId="0" borderId="0" xfId="1" applyFont="1" applyAlignment="1">
      <alignment horizontal="left"/>
    </xf>
    <xf numFmtId="44" fontId="0" fillId="0" borderId="0" xfId="1" applyFont="1" applyAlignment="1">
      <alignment horizontal="left"/>
    </xf>
    <xf numFmtId="44" fontId="40" fillId="0" borderId="0" xfId="1" applyFont="1" applyAlignment="1">
      <alignment horizontal="left"/>
    </xf>
    <xf numFmtId="8" fontId="0" fillId="0" borderId="0" xfId="1" applyNumberFormat="1" applyFont="1"/>
    <xf numFmtId="0" fontId="0" fillId="12" borderId="0" xfId="0" applyFill="1"/>
    <xf numFmtId="0" fontId="4" fillId="12" borderId="0" xfId="0" applyFont="1" applyFill="1"/>
    <xf numFmtId="0" fontId="4" fillId="4" borderId="0" xfId="0" applyFont="1" applyFill="1"/>
    <xf numFmtId="0" fontId="0" fillId="4" borderId="0" xfId="0" applyFill="1"/>
    <xf numFmtId="165" fontId="4" fillId="0" borderId="0" xfId="0" applyNumberFormat="1" applyFont="1" applyAlignment="1">
      <alignment wrapText="1"/>
    </xf>
    <xf numFmtId="0" fontId="4" fillId="0" borderId="0" xfId="0" applyFont="1" applyAlignment="1">
      <alignment wrapText="1"/>
    </xf>
    <xf numFmtId="44" fontId="4" fillId="0" borderId="0" xfId="1" applyFont="1" applyAlignment="1">
      <alignment wrapText="1"/>
    </xf>
    <xf numFmtId="44" fontId="4" fillId="0" borderId="0" xfId="1" applyFont="1" applyAlignment="1">
      <alignment horizontal="right" wrapText="1"/>
    </xf>
    <xf numFmtId="0" fontId="0" fillId="0" borderId="0" xfId="0" applyAlignment="1">
      <alignment horizontal="center"/>
    </xf>
    <xf numFmtId="44" fontId="3" fillId="0" borderId="20" xfId="1" applyFont="1" applyBorder="1" applyAlignment="1">
      <alignment horizontal="center"/>
    </xf>
    <xf numFmtId="44" fontId="3" fillId="0" borderId="0" xfId="1" applyFont="1" applyBorder="1" applyAlignment="1">
      <alignment horizontal="center"/>
    </xf>
    <xf numFmtId="44" fontId="4" fillId="0" borderId="0" xfId="1" applyFont="1" applyAlignment="1">
      <alignment horizontal="center" wrapText="1"/>
    </xf>
    <xf numFmtId="44" fontId="4" fillId="0" borderId="0" xfId="1" applyFont="1" applyAlignment="1">
      <alignment horizontal="center"/>
    </xf>
    <xf numFmtId="44" fontId="9" fillId="0" borderId="0" xfId="1" applyFont="1" applyAlignment="1">
      <alignment horizontal="center"/>
    </xf>
    <xf numFmtId="44" fontId="0" fillId="0" borderId="0" xfId="1" applyFont="1" applyAlignment="1">
      <alignment horizontal="center"/>
    </xf>
    <xf numFmtId="44" fontId="40" fillId="0" borderId="0" xfId="1" applyFont="1" applyAlignment="1">
      <alignment horizontal="center"/>
    </xf>
    <xf numFmtId="44" fontId="9" fillId="0" borderId="0" xfId="1" applyFont="1" applyFill="1" applyAlignment="1">
      <alignment horizontal="center"/>
    </xf>
    <xf numFmtId="0" fontId="0" fillId="3" borderId="29" xfId="0" applyFill="1" applyBorder="1"/>
    <xf numFmtId="44" fontId="0" fillId="3" borderId="28" xfId="0" applyNumberFormat="1" applyFill="1" applyBorder="1"/>
    <xf numFmtId="0" fontId="0" fillId="3" borderId="42" xfId="0" applyFill="1" applyBorder="1"/>
    <xf numFmtId="0" fontId="0" fillId="4" borderId="43" xfId="0" applyFill="1" applyBorder="1"/>
    <xf numFmtId="0" fontId="0" fillId="0" borderId="17" xfId="0" applyFill="1" applyBorder="1"/>
    <xf numFmtId="44" fontId="2" fillId="0" borderId="7" xfId="1" applyFont="1" applyFill="1" applyBorder="1"/>
    <xf numFmtId="0" fontId="0" fillId="0" borderId="15" xfId="0" applyFill="1" applyBorder="1"/>
    <xf numFmtId="44" fontId="2" fillId="0" borderId="8" xfId="1" applyFont="1" applyFill="1" applyBorder="1"/>
    <xf numFmtId="0" fontId="41" fillId="4" borderId="15" xfId="0" applyFont="1" applyFill="1" applyBorder="1"/>
    <xf numFmtId="44" fontId="41" fillId="4" borderId="0" xfId="1" applyFont="1" applyFill="1" applyBorder="1"/>
    <xf numFmtId="44" fontId="42" fillId="4" borderId="9" xfId="1" applyFont="1" applyFill="1" applyBorder="1"/>
    <xf numFmtId="0" fontId="43" fillId="4" borderId="15" xfId="0" applyFont="1" applyFill="1" applyBorder="1"/>
    <xf numFmtId="44" fontId="43" fillId="4" borderId="0" xfId="1" applyFont="1" applyFill="1" applyBorder="1"/>
    <xf numFmtId="44" fontId="44" fillId="4" borderId="8" xfId="1" applyFont="1" applyFill="1" applyBorder="1"/>
    <xf numFmtId="0" fontId="45" fillId="4" borderId="15" xfId="0" applyFont="1" applyFill="1" applyBorder="1"/>
    <xf numFmtId="44" fontId="45" fillId="4" borderId="0" xfId="1" applyFont="1" applyFill="1" applyBorder="1"/>
    <xf numFmtId="44" fontId="46" fillId="4" borderId="8" xfId="1" applyFont="1" applyFill="1" applyBorder="1"/>
    <xf numFmtId="0" fontId="45" fillId="4" borderId="17" xfId="0" applyFont="1" applyFill="1" applyBorder="1"/>
    <xf numFmtId="44" fontId="45" fillId="4" borderId="18" xfId="1" applyFont="1" applyFill="1" applyBorder="1"/>
    <xf numFmtId="44" fontId="45" fillId="0" borderId="18" xfId="0" applyNumberFormat="1" applyFont="1" applyFill="1" applyBorder="1"/>
    <xf numFmtId="44" fontId="43" fillId="0" borderId="0" xfId="1" applyFont="1" applyFill="1" applyBorder="1"/>
    <xf numFmtId="0" fontId="47" fillId="4" borderId="12" xfId="0" applyFont="1" applyFill="1" applyBorder="1"/>
    <xf numFmtId="44" fontId="47" fillId="2" borderId="13" xfId="1" applyFont="1" applyFill="1" applyBorder="1"/>
    <xf numFmtId="44" fontId="47" fillId="2" borderId="14" xfId="1" applyFont="1" applyFill="1" applyBorder="1"/>
    <xf numFmtId="44" fontId="47" fillId="4" borderId="7" xfId="0" applyNumberFormat="1" applyFont="1" applyFill="1" applyBorder="1"/>
    <xf numFmtId="0" fontId="47" fillId="4" borderId="1" xfId="0" applyFont="1" applyFill="1" applyBorder="1"/>
    <xf numFmtId="44" fontId="47" fillId="4" borderId="0" xfId="0" applyNumberFormat="1" applyFont="1" applyFill="1" applyBorder="1"/>
    <xf numFmtId="0" fontId="47" fillId="0" borderId="12" xfId="0" applyFont="1" applyFill="1" applyBorder="1"/>
    <xf numFmtId="44" fontId="47" fillId="0" borderId="13" xfId="1" applyFont="1" applyFill="1" applyBorder="1"/>
    <xf numFmtId="0" fontId="43" fillId="4" borderId="1" xfId="0" applyFont="1" applyFill="1" applyBorder="1"/>
    <xf numFmtId="44" fontId="44" fillId="4" borderId="43" xfId="1" applyFont="1" applyFill="1" applyBorder="1"/>
    <xf numFmtId="0" fontId="45" fillId="4" borderId="1" xfId="0" applyFont="1" applyFill="1" applyBorder="1"/>
    <xf numFmtId="44" fontId="46" fillId="4" borderId="43" xfId="1" applyFont="1" applyFill="1" applyBorder="1"/>
    <xf numFmtId="0" fontId="49" fillId="0" borderId="0" xfId="0" applyFont="1"/>
    <xf numFmtId="0" fontId="45" fillId="0" borderId="0" xfId="0" applyFont="1"/>
    <xf numFmtId="0" fontId="5" fillId="0" borderId="0" xfId="2" applyBorder="1"/>
    <xf numFmtId="9" fontId="0" fillId="0" borderId="0" xfId="0" applyNumberFormat="1" applyFill="1" applyBorder="1"/>
    <xf numFmtId="0" fontId="3" fillId="0" borderId="16" xfId="0" applyFont="1" applyBorder="1"/>
    <xf numFmtId="44" fontId="2" fillId="3" borderId="44" xfId="0" applyNumberFormat="1" applyFont="1" applyFill="1" applyBorder="1"/>
    <xf numFmtId="166" fontId="19" fillId="4" borderId="16" xfId="0" applyNumberFormat="1" applyFont="1" applyFill="1" applyBorder="1"/>
    <xf numFmtId="44" fontId="0" fillId="0" borderId="13" xfId="0" applyNumberFormat="1" applyBorder="1"/>
    <xf numFmtId="0" fontId="45" fillId="0" borderId="8" xfId="0" applyFont="1" applyFill="1" applyBorder="1"/>
    <xf numFmtId="166" fontId="22" fillId="4" borderId="45" xfId="0" applyNumberFormat="1" applyFont="1" applyFill="1" applyBorder="1"/>
    <xf numFmtId="166" fontId="22" fillId="4" borderId="46" xfId="0" applyNumberFormat="1" applyFont="1" applyFill="1" applyBorder="1"/>
    <xf numFmtId="166" fontId="22" fillId="4" borderId="47" xfId="0" applyNumberFormat="1" applyFont="1" applyFill="1" applyBorder="1"/>
    <xf numFmtId="0" fontId="50" fillId="0" borderId="0" xfId="0" applyFont="1"/>
    <xf numFmtId="44" fontId="4" fillId="7" borderId="2" xfId="1" applyFont="1" applyFill="1" applyBorder="1"/>
    <xf numFmtId="0" fontId="51" fillId="0" borderId="0" xfId="2" applyFont="1" applyAlignment="1">
      <alignment horizontal="right"/>
    </xf>
    <xf numFmtId="0" fontId="37" fillId="0" borderId="0" xfId="0" applyFont="1"/>
    <xf numFmtId="0" fontId="49" fillId="13" borderId="29" xfId="0" applyFont="1" applyFill="1" applyBorder="1"/>
    <xf numFmtId="0" fontId="0" fillId="13" borderId="28" xfId="0" applyFill="1" applyBorder="1"/>
    <xf numFmtId="0" fontId="0" fillId="13" borderId="27" xfId="0" applyFill="1" applyBorder="1"/>
    <xf numFmtId="0" fontId="49" fillId="13" borderId="1" xfId="0" applyFont="1" applyFill="1" applyBorder="1"/>
    <xf numFmtId="0" fontId="45" fillId="13" borderId="0" xfId="0" applyFont="1" applyFill="1" applyBorder="1"/>
    <xf numFmtId="9" fontId="45" fillId="13" borderId="2" xfId="0" applyNumberFormat="1" applyFont="1" applyFill="1" applyBorder="1" applyAlignment="1">
      <alignment horizontal="center"/>
    </xf>
    <xf numFmtId="0" fontId="45" fillId="13" borderId="2" xfId="0" applyFont="1" applyFill="1" applyBorder="1"/>
    <xf numFmtId="0" fontId="49" fillId="13" borderId="3" xfId="0" applyFont="1" applyFill="1" applyBorder="1"/>
    <xf numFmtId="0" fontId="45" fillId="13" borderId="20" xfId="0" applyFont="1" applyFill="1" applyBorder="1"/>
    <xf numFmtId="0" fontId="45" fillId="13" borderId="4" xfId="0" applyFont="1" applyFill="1" applyBorder="1"/>
    <xf numFmtId="0" fontId="52" fillId="0" borderId="0" xfId="0" applyFont="1"/>
    <xf numFmtId="0" fontId="0" fillId="14" borderId="29" xfId="0" applyFill="1" applyBorder="1"/>
    <xf numFmtId="44" fontId="1" fillId="14" borderId="28" xfId="1" applyFont="1" applyFill="1" applyBorder="1"/>
    <xf numFmtId="44" fontId="1" fillId="14" borderId="27" xfId="1" applyFont="1" applyFill="1" applyBorder="1"/>
    <xf numFmtId="0" fontId="0" fillId="14" borderId="1" xfId="0" applyFill="1" applyBorder="1"/>
    <xf numFmtId="44" fontId="1" fillId="14" borderId="0" xfId="1" applyFont="1" applyFill="1" applyBorder="1"/>
    <xf numFmtId="44" fontId="1" fillId="14" borderId="2" xfId="1" applyFont="1" applyFill="1" applyBorder="1"/>
    <xf numFmtId="0" fontId="0" fillId="14" borderId="3" xfId="0" applyFill="1" applyBorder="1"/>
    <xf numFmtId="44" fontId="1" fillId="14" borderId="20" xfId="1" applyFont="1" applyFill="1" applyBorder="1"/>
    <xf numFmtId="44" fontId="1" fillId="14" borderId="4" xfId="1" applyFont="1" applyFill="1" applyBorder="1"/>
    <xf numFmtId="0" fontId="4" fillId="14" borderId="29" xfId="0" applyFont="1" applyFill="1" applyBorder="1" applyAlignment="1">
      <alignment horizontal="left"/>
    </xf>
    <xf numFmtId="44" fontId="4" fillId="14" borderId="27" xfId="1" applyFont="1" applyFill="1" applyBorder="1"/>
    <xf numFmtId="0" fontId="4" fillId="14" borderId="1" xfId="0" applyFont="1" applyFill="1" applyBorder="1" applyAlignment="1">
      <alignment horizontal="left"/>
    </xf>
    <xf numFmtId="44" fontId="4" fillId="14" borderId="2" xfId="1" applyFont="1" applyFill="1" applyBorder="1"/>
    <xf numFmtId="0" fontId="4" fillId="14" borderId="3" xfId="0" applyFont="1" applyFill="1" applyBorder="1" applyAlignment="1">
      <alignment horizontal="left"/>
    </xf>
    <xf numFmtId="44" fontId="4" fillId="14" borderId="4" xfId="1" applyFont="1" applyFill="1" applyBorder="1"/>
    <xf numFmtId="44" fontId="4" fillId="14" borderId="48" xfId="1" applyFont="1" applyFill="1" applyBorder="1"/>
    <xf numFmtId="44" fontId="4" fillId="14" borderId="49" xfId="1" applyFont="1" applyFill="1" applyBorder="1"/>
    <xf numFmtId="44" fontId="4" fillId="14" borderId="50" xfId="1" applyFont="1" applyFill="1" applyBorder="1"/>
    <xf numFmtId="0" fontId="0" fillId="0" borderId="0" xfId="0" applyAlignment="1">
      <alignment horizontal="center"/>
    </xf>
    <xf numFmtId="0" fontId="0" fillId="0" borderId="0" xfId="0" applyAlignment="1">
      <alignment horizontal="right"/>
    </xf>
    <xf numFmtId="0" fontId="53" fillId="0" borderId="0" xfId="0" applyFont="1"/>
    <xf numFmtId="0" fontId="0" fillId="0" borderId="0" xfId="0" applyAlignment="1">
      <alignment horizontal="center"/>
    </xf>
    <xf numFmtId="0" fontId="0" fillId="0" borderId="0" xfId="0" applyFont="1"/>
    <xf numFmtId="0" fontId="55" fillId="0" borderId="0" xfId="0" applyFont="1" applyAlignment="1">
      <alignment horizontal="left"/>
    </xf>
    <xf numFmtId="0" fontId="56" fillId="0" borderId="0" xfId="0" applyFont="1" applyAlignment="1">
      <alignment horizontal="left"/>
    </xf>
    <xf numFmtId="0" fontId="58" fillId="0" borderId="0" xfId="0" applyFont="1"/>
    <xf numFmtId="0" fontId="59" fillId="0" borderId="0" xfId="2" applyFont="1"/>
    <xf numFmtId="0" fontId="29" fillId="0" borderId="0" xfId="2" applyFont="1" applyAlignment="1">
      <alignment horizontal="left"/>
    </xf>
    <xf numFmtId="0" fontId="4" fillId="7" borderId="1" xfId="0" applyFont="1" applyFill="1" applyBorder="1" applyAlignment="1">
      <alignment horizontal="left"/>
    </xf>
    <xf numFmtId="44" fontId="4" fillId="0" borderId="0" xfId="1" applyFont="1"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55" fillId="0" borderId="0" xfId="0" applyFont="1" applyAlignment="1">
      <alignment horizontal="center"/>
    </xf>
    <xf numFmtId="0" fontId="57" fillId="0" borderId="0" xfId="0" applyFont="1" applyAlignment="1">
      <alignment horizontal="center"/>
    </xf>
    <xf numFmtId="0" fontId="4" fillId="11" borderId="34" xfId="0" applyFont="1" applyFill="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4" fillId="7" borderId="37" xfId="0" applyFont="1" applyFill="1" applyBorder="1" applyAlignment="1">
      <alignment horizontal="center"/>
    </xf>
    <xf numFmtId="0" fontId="0" fillId="0" borderId="0" xfId="0" applyBorder="1" applyAlignment="1">
      <alignment horizontal="center"/>
    </xf>
    <xf numFmtId="0" fontId="0" fillId="0" borderId="38" xfId="0" applyBorder="1" applyAlignment="1">
      <alignment horizontal="center"/>
    </xf>
    <xf numFmtId="0" fontId="4" fillId="7" borderId="37" xfId="0" applyFont="1" applyFill="1" applyBorder="1" applyAlignment="1">
      <alignment horizontal="right" wrapText="1"/>
    </xf>
    <xf numFmtId="0" fontId="0" fillId="0" borderId="0" xfId="0" applyBorder="1" applyAlignment="1">
      <alignment wrapText="1"/>
    </xf>
    <xf numFmtId="0" fontId="0" fillId="0" borderId="0" xfId="0" applyAlignment="1">
      <alignment vertical="center" wrapText="1"/>
    </xf>
    <xf numFmtId="0" fontId="0" fillId="0" borderId="0" xfId="0" applyAlignment="1">
      <alignment wrapText="1"/>
    </xf>
    <xf numFmtId="0" fontId="4" fillId="0" borderId="12" xfId="0" applyFont="1" applyBorder="1" applyAlignment="1">
      <alignment horizontal="center"/>
    </xf>
    <xf numFmtId="0" fontId="0" fillId="0" borderId="14" xfId="0"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cellXfs>
  <cellStyles count="5">
    <cellStyle name="Lien hypertexte" xfId="2" builtinId="8"/>
    <cellStyle name="Milliers" xfId="3" builtinId="3"/>
    <cellStyle name="Monétaire" xfId="1" builtinId="4"/>
    <cellStyle name="Normal" xfId="0" builtinId="0"/>
    <cellStyle name="Pourcentage" xfId="4" builtinId="5"/>
  </cellStyles>
  <dxfs count="0"/>
  <tableStyles count="0" defaultTableStyle="TableStyleMedium2" defaultPivotStyle="PivotStyleLight16"/>
  <colors>
    <mruColors>
      <color rgb="FFF4F7FA"/>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2072456032619E-2"/>
          <c:y val="9.3111958849668303E-3"/>
          <c:w val="0.7404687088647951"/>
          <c:h val="0.95847513065232537"/>
        </c:manualLayout>
      </c:layout>
      <c:lineChart>
        <c:grouping val="standard"/>
        <c:varyColors val="0"/>
        <c:ser>
          <c:idx val="0"/>
          <c:order val="0"/>
          <c:tx>
            <c:v>Leaf</c:v>
          </c:tx>
          <c:marker>
            <c:symbol val="none"/>
          </c:marker>
          <c:dLbls>
            <c:dLbl>
              <c:idx val="9"/>
              <c:layout>
                <c:manualLayout>
                  <c:x val="2.040898790090263E-2"/>
                  <c:y val="3.6104169844285966E-2"/>
                </c:manualLayout>
              </c:layout>
              <c:spPr/>
              <c:txPr>
                <a:bodyPr/>
                <a:lstStyle/>
                <a:p>
                  <a:pPr>
                    <a:defRPr sz="1800" baseline="0"/>
                  </a:pPr>
                  <a:endParaRPr lang="fr-FR"/>
                </a:p>
              </c:txPr>
              <c:showLegendKey val="0"/>
              <c:showVal val="1"/>
              <c:showCatName val="0"/>
              <c:showSerName val="1"/>
              <c:showPercent val="0"/>
              <c:showBubbleSize val="0"/>
            </c:dLbl>
            <c:showLegendKey val="0"/>
            <c:showVal val="0"/>
            <c:showCatName val="0"/>
            <c:showSerName val="0"/>
            <c:showPercent val="0"/>
            <c:showBubbleSize val="0"/>
          </c:dLbls>
          <c:cat>
            <c:strRef>
              <c:f>'Comparatif-SideBySide'!$C$59:$L$59</c:f>
              <c:strCache>
                <c:ptCount val="10"/>
                <c:pt idx="0">
                  <c:v>Année 1</c:v>
                </c:pt>
                <c:pt idx="1">
                  <c:v>Année 2</c:v>
                </c:pt>
                <c:pt idx="2">
                  <c:v>Année 3</c:v>
                </c:pt>
                <c:pt idx="3">
                  <c:v>Année 4</c:v>
                </c:pt>
                <c:pt idx="4">
                  <c:v>Année 5</c:v>
                </c:pt>
                <c:pt idx="5">
                  <c:v>Année 6</c:v>
                </c:pt>
                <c:pt idx="6">
                  <c:v>Année 7</c:v>
                </c:pt>
                <c:pt idx="7">
                  <c:v>Année 8</c:v>
                </c:pt>
                <c:pt idx="8">
                  <c:v>Année 9</c:v>
                </c:pt>
                <c:pt idx="9">
                  <c:v>Année 10</c:v>
                </c:pt>
              </c:strCache>
            </c:strRef>
          </c:cat>
          <c:val>
            <c:numRef>
              <c:f>'Comparatif-SideBySide'!$C$86:$L$86</c:f>
              <c:numCache>
                <c:formatCode>_("$"* #,##0.00_);_("$"* \(#,##0.00\);_("$"* "-"??_);_(@_)</c:formatCode>
                <c:ptCount val="10"/>
                <c:pt idx="0">
                  <c:v>4803.88</c:v>
                </c:pt>
                <c:pt idx="1">
                  <c:v>9618.76</c:v>
                </c:pt>
                <c:pt idx="2">
                  <c:v>14445.01</c:v>
                </c:pt>
                <c:pt idx="3">
                  <c:v>19283.014900000002</c:v>
                </c:pt>
                <c:pt idx="4">
                  <c:v>24133.175173000003</c:v>
                </c:pt>
                <c:pt idx="5">
                  <c:v>28995.907570210002</c:v>
                </c:pt>
                <c:pt idx="6">
                  <c:v>33871.6458600517</c:v>
                </c:pt>
                <c:pt idx="7">
                  <c:v>34356.961602612108</c:v>
                </c:pt>
                <c:pt idx="8">
                  <c:v>34856.204961291696</c:v>
                </c:pt>
                <c:pt idx="9">
                  <c:v>35369.865553476244</c:v>
                </c:pt>
              </c:numCache>
            </c:numRef>
          </c:val>
          <c:smooth val="0"/>
        </c:ser>
        <c:ser>
          <c:idx val="1"/>
          <c:order val="1"/>
          <c:tx>
            <c:v>Sparks</c:v>
          </c:tx>
          <c:marker>
            <c:symbol val="none"/>
          </c:marker>
          <c:dLbls>
            <c:dLbl>
              <c:idx val="9"/>
              <c:layout>
                <c:manualLayout>
                  <c:x val="2.4451622815440752E-2"/>
                  <c:y val="-1.0680602101243821E-2"/>
                </c:manualLayout>
              </c:layout>
              <c:spPr/>
              <c:txPr>
                <a:bodyPr/>
                <a:lstStyle/>
                <a:p>
                  <a:pPr>
                    <a:defRPr sz="1800" baseline="0"/>
                  </a:pPr>
                  <a:endParaRPr lang="fr-FR"/>
                </a:p>
              </c:txPr>
              <c:showLegendKey val="0"/>
              <c:showVal val="1"/>
              <c:showCatName val="0"/>
              <c:showSerName val="1"/>
              <c:showPercent val="0"/>
              <c:showBubbleSize val="0"/>
            </c:dLbl>
            <c:showLegendKey val="0"/>
            <c:showVal val="0"/>
            <c:showCatName val="0"/>
            <c:showSerName val="0"/>
            <c:showPercent val="0"/>
            <c:showBubbleSize val="0"/>
          </c:dLbls>
          <c:cat>
            <c:strRef>
              <c:f>'Comparatif-SideBySide'!$C$59:$L$59</c:f>
              <c:strCache>
                <c:ptCount val="10"/>
                <c:pt idx="0">
                  <c:v>Année 1</c:v>
                </c:pt>
                <c:pt idx="1">
                  <c:v>Année 2</c:v>
                </c:pt>
                <c:pt idx="2">
                  <c:v>Année 3</c:v>
                </c:pt>
                <c:pt idx="3">
                  <c:v>Année 4</c:v>
                </c:pt>
                <c:pt idx="4">
                  <c:v>Année 5</c:v>
                </c:pt>
                <c:pt idx="5">
                  <c:v>Année 6</c:v>
                </c:pt>
                <c:pt idx="6">
                  <c:v>Année 7</c:v>
                </c:pt>
                <c:pt idx="7">
                  <c:v>Année 8</c:v>
                </c:pt>
                <c:pt idx="8">
                  <c:v>Année 9</c:v>
                </c:pt>
                <c:pt idx="9">
                  <c:v>Année 10</c:v>
                </c:pt>
              </c:strCache>
            </c:strRef>
          </c:cat>
          <c:val>
            <c:numRef>
              <c:f>'Comparatif-SideBySide'!$C$87:$L$87</c:f>
              <c:numCache>
                <c:formatCode>_("$"* #,##0.00_);_("$"* \(#,##0.00\);_("$"* "-"??_);_(@_)</c:formatCode>
                <c:ptCount val="10"/>
                <c:pt idx="0">
                  <c:v>5177.24</c:v>
                </c:pt>
                <c:pt idx="1">
                  <c:v>10365.48</c:v>
                </c:pt>
                <c:pt idx="2">
                  <c:v>15565.09</c:v>
                </c:pt>
                <c:pt idx="3">
                  <c:v>20776.454900000001</c:v>
                </c:pt>
                <c:pt idx="4">
                  <c:v>25999.975172999999</c:v>
                </c:pt>
                <c:pt idx="5">
                  <c:v>31236.067570209998</c:v>
                </c:pt>
                <c:pt idx="6">
                  <c:v>36485.165860051697</c:v>
                </c:pt>
                <c:pt idx="7">
                  <c:v>36970.481602612104</c:v>
                </c:pt>
                <c:pt idx="8">
                  <c:v>37469.724961291693</c:v>
                </c:pt>
                <c:pt idx="9">
                  <c:v>37983.385553476241</c:v>
                </c:pt>
              </c:numCache>
            </c:numRef>
          </c:val>
          <c:smooth val="0"/>
        </c:ser>
        <c:ser>
          <c:idx val="2"/>
          <c:order val="2"/>
          <c:tx>
            <c:v>Volt Neuve</c:v>
          </c:tx>
          <c:marker>
            <c:symbol val="none"/>
          </c:marker>
          <c:dLbls>
            <c:dLbl>
              <c:idx val="9"/>
              <c:layout>
                <c:manualLayout>
                  <c:x val="1.5018167850969849E-2"/>
                  <c:y val="-2.8857534794634325E-3"/>
                </c:manualLayout>
              </c:layout>
              <c:spPr/>
              <c:txPr>
                <a:bodyPr/>
                <a:lstStyle/>
                <a:p>
                  <a:pPr>
                    <a:defRPr sz="1800" baseline="0"/>
                  </a:pPr>
                  <a:endParaRPr lang="fr-FR"/>
                </a:p>
              </c:txPr>
              <c:showLegendKey val="0"/>
              <c:showVal val="1"/>
              <c:showCatName val="0"/>
              <c:showSerName val="1"/>
              <c:showPercent val="0"/>
              <c:showBubbleSize val="0"/>
            </c:dLbl>
            <c:showLegendKey val="0"/>
            <c:showVal val="0"/>
            <c:showCatName val="0"/>
            <c:showSerName val="0"/>
            <c:showPercent val="0"/>
            <c:showBubbleSize val="0"/>
          </c:dLbls>
          <c:cat>
            <c:strRef>
              <c:f>'Comparatif-SideBySide'!$C$59:$L$59</c:f>
              <c:strCache>
                <c:ptCount val="10"/>
                <c:pt idx="0">
                  <c:v>Année 1</c:v>
                </c:pt>
                <c:pt idx="1">
                  <c:v>Année 2</c:v>
                </c:pt>
                <c:pt idx="2">
                  <c:v>Année 3</c:v>
                </c:pt>
                <c:pt idx="3">
                  <c:v>Année 4</c:v>
                </c:pt>
                <c:pt idx="4">
                  <c:v>Année 5</c:v>
                </c:pt>
                <c:pt idx="5">
                  <c:v>Année 6</c:v>
                </c:pt>
                <c:pt idx="6">
                  <c:v>Année 7</c:v>
                </c:pt>
                <c:pt idx="7">
                  <c:v>Année 8</c:v>
                </c:pt>
                <c:pt idx="8">
                  <c:v>Année 9</c:v>
                </c:pt>
                <c:pt idx="9">
                  <c:v>Année 10</c:v>
                </c:pt>
              </c:strCache>
            </c:strRef>
          </c:cat>
          <c:val>
            <c:numRef>
              <c:f>'Comparatif-SideBySide'!$C$88:$L$88</c:f>
              <c:numCache>
                <c:formatCode>_("$"* #,##0.00_);_("$"* \(#,##0.00\);_("$"* "-"??_);_(@_)</c:formatCode>
                <c:ptCount val="10"/>
                <c:pt idx="0">
                  <c:v>6392.68</c:v>
                </c:pt>
                <c:pt idx="1">
                  <c:v>12796.36</c:v>
                </c:pt>
                <c:pt idx="2">
                  <c:v>19211.41</c:v>
                </c:pt>
                <c:pt idx="3">
                  <c:v>25638.214899999999</c:v>
                </c:pt>
                <c:pt idx="4">
                  <c:v>32077.175173</c:v>
                </c:pt>
                <c:pt idx="5">
                  <c:v>38528.707570209997</c:v>
                </c:pt>
                <c:pt idx="6">
                  <c:v>44993.245860051698</c:v>
                </c:pt>
                <c:pt idx="7">
                  <c:v>45478.561602612106</c:v>
                </c:pt>
                <c:pt idx="8">
                  <c:v>45977.804961291695</c:v>
                </c:pt>
                <c:pt idx="9">
                  <c:v>46491.465553476242</c:v>
                </c:pt>
              </c:numCache>
            </c:numRef>
          </c:val>
          <c:smooth val="0"/>
        </c:ser>
        <c:ser>
          <c:idx val="3"/>
          <c:order val="3"/>
          <c:tx>
            <c:v>Volt Usagée</c:v>
          </c:tx>
          <c:marker>
            <c:symbol val="none"/>
          </c:marker>
          <c:dLbls>
            <c:dLbl>
              <c:idx val="9"/>
              <c:layout>
                <c:manualLayout>
                  <c:x val="2.3026771653543308E-2"/>
                  <c:y val="2.1172210097773266E-2"/>
                </c:manualLayout>
              </c:layout>
              <c:spPr/>
              <c:txPr>
                <a:bodyPr/>
                <a:lstStyle/>
                <a:p>
                  <a:pPr>
                    <a:defRPr sz="1800" baseline="0"/>
                  </a:pPr>
                  <a:endParaRPr lang="fr-FR"/>
                </a:p>
              </c:txPr>
              <c:showLegendKey val="0"/>
              <c:showVal val="1"/>
              <c:showCatName val="0"/>
              <c:showSerName val="1"/>
              <c:showPercent val="0"/>
              <c:showBubbleSize val="0"/>
            </c:dLbl>
            <c:showLegendKey val="0"/>
            <c:showVal val="0"/>
            <c:showCatName val="0"/>
            <c:showSerName val="0"/>
            <c:showPercent val="0"/>
            <c:showBubbleSize val="0"/>
          </c:dLbls>
          <c:cat>
            <c:strRef>
              <c:f>'Comparatif-SideBySide'!$C$59:$L$59</c:f>
              <c:strCache>
                <c:ptCount val="10"/>
                <c:pt idx="0">
                  <c:v>Année 1</c:v>
                </c:pt>
                <c:pt idx="1">
                  <c:v>Année 2</c:v>
                </c:pt>
                <c:pt idx="2">
                  <c:v>Année 3</c:v>
                </c:pt>
                <c:pt idx="3">
                  <c:v>Année 4</c:v>
                </c:pt>
                <c:pt idx="4">
                  <c:v>Année 5</c:v>
                </c:pt>
                <c:pt idx="5">
                  <c:v>Année 6</c:v>
                </c:pt>
                <c:pt idx="6">
                  <c:v>Année 7</c:v>
                </c:pt>
                <c:pt idx="7">
                  <c:v>Année 8</c:v>
                </c:pt>
                <c:pt idx="8">
                  <c:v>Année 9</c:v>
                </c:pt>
                <c:pt idx="9">
                  <c:v>Année 10</c:v>
                </c:pt>
              </c:strCache>
            </c:strRef>
          </c:cat>
          <c:val>
            <c:numRef>
              <c:f>'Comparatif-SideBySide'!$C$89:$L$89</c:f>
              <c:numCache>
                <c:formatCode>_("$"* #,##0.00_);_("$"* \(#,##0.00\);_("$"* "-"??_);_(@_)</c:formatCode>
                <c:ptCount val="10"/>
                <c:pt idx="0">
                  <c:v>5116.4800000000005</c:v>
                </c:pt>
                <c:pt idx="1">
                  <c:v>10243.960000000001</c:v>
                </c:pt>
                <c:pt idx="2">
                  <c:v>15382.810000000001</c:v>
                </c:pt>
                <c:pt idx="3">
                  <c:v>20533.414900000003</c:v>
                </c:pt>
                <c:pt idx="4">
                  <c:v>25696.175173000003</c:v>
                </c:pt>
                <c:pt idx="5">
                  <c:v>30871.507570210004</c:v>
                </c:pt>
                <c:pt idx="6">
                  <c:v>36059.845860051704</c:v>
                </c:pt>
                <c:pt idx="7">
                  <c:v>36545.161602612112</c:v>
                </c:pt>
                <c:pt idx="8">
                  <c:v>37044.404961291701</c:v>
                </c:pt>
                <c:pt idx="9">
                  <c:v>37558.065553476248</c:v>
                </c:pt>
              </c:numCache>
            </c:numRef>
          </c:val>
          <c:smooth val="0"/>
        </c:ser>
        <c:ser>
          <c:idx val="6"/>
          <c:order val="4"/>
          <c:tx>
            <c:v>Soul</c:v>
          </c:tx>
          <c:marker>
            <c:symbol val="none"/>
          </c:marker>
          <c:dLbls>
            <c:dLbl>
              <c:idx val="9"/>
              <c:layout>
                <c:manualLayout>
                  <c:x val="2.3389206836950258E-2"/>
                  <c:y val="1.5256136309533142E-3"/>
                </c:manualLayout>
              </c:layout>
              <c:tx>
                <c:rich>
                  <a:bodyPr/>
                  <a:lstStyle/>
                  <a:p>
                    <a:r>
                      <a:rPr lang="en-US" sz="1800"/>
                      <a:t>Soul;  42 110,41  $ </a:t>
                    </a:r>
                  </a:p>
                </c:rich>
              </c:tx>
              <c:showLegendKey val="0"/>
              <c:showVal val="0"/>
              <c:showCatName val="0"/>
              <c:showSerName val="0"/>
              <c:showPercent val="0"/>
              <c:showBubbleSize val="0"/>
            </c:dLbl>
            <c:txPr>
              <a:bodyPr/>
              <a:lstStyle/>
              <a:p>
                <a:pPr algn="ctr">
                  <a:defRPr lang="fr-CA" sz="10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0"/>
            <c:showBubbleSize val="0"/>
          </c:dLbls>
          <c:cat>
            <c:strRef>
              <c:f>'Comparatif-SideBySide'!$C$59:$L$59</c:f>
              <c:strCache>
                <c:ptCount val="10"/>
                <c:pt idx="0">
                  <c:v>Année 1</c:v>
                </c:pt>
                <c:pt idx="1">
                  <c:v>Année 2</c:v>
                </c:pt>
                <c:pt idx="2">
                  <c:v>Année 3</c:v>
                </c:pt>
                <c:pt idx="3">
                  <c:v>Année 4</c:v>
                </c:pt>
                <c:pt idx="4">
                  <c:v>Année 5</c:v>
                </c:pt>
                <c:pt idx="5">
                  <c:v>Année 6</c:v>
                </c:pt>
                <c:pt idx="6">
                  <c:v>Année 7</c:v>
                </c:pt>
                <c:pt idx="7">
                  <c:v>Année 8</c:v>
                </c:pt>
                <c:pt idx="8">
                  <c:v>Année 9</c:v>
                </c:pt>
                <c:pt idx="9">
                  <c:v>Année 10</c:v>
                </c:pt>
              </c:strCache>
            </c:strRef>
          </c:cat>
          <c:val>
            <c:numRef>
              <c:f>'Comparatif-SideBySide'!$C$90:$L$90</c:f>
              <c:numCache>
                <c:formatCode>_("$"* #,##0.00_);_("$"* \(#,##0.00\);_("$"* "-"??_);_(@_)</c:formatCode>
                <c:ptCount val="10"/>
                <c:pt idx="0">
                  <c:v>5968.16</c:v>
                </c:pt>
                <c:pt idx="1">
                  <c:v>11947.32</c:v>
                </c:pt>
                <c:pt idx="2">
                  <c:v>17937.849999999999</c:v>
                </c:pt>
                <c:pt idx="3">
                  <c:v>23940.134899999997</c:v>
                </c:pt>
                <c:pt idx="4">
                  <c:v>29954.575172999997</c:v>
                </c:pt>
                <c:pt idx="5">
                  <c:v>35981.587570209995</c:v>
                </c:pt>
                <c:pt idx="6">
                  <c:v>42021.605860051699</c:v>
                </c:pt>
                <c:pt idx="7">
                  <c:v>42506.921602612107</c:v>
                </c:pt>
                <c:pt idx="8">
                  <c:v>43006.164961291695</c:v>
                </c:pt>
                <c:pt idx="9">
                  <c:v>43519.825553476243</c:v>
                </c:pt>
              </c:numCache>
            </c:numRef>
          </c:val>
          <c:smooth val="0"/>
        </c:ser>
        <c:ser>
          <c:idx val="5"/>
          <c:order val="5"/>
          <c:tx>
            <c:v>BMW i3</c:v>
          </c:tx>
          <c:marker>
            <c:symbol val="none"/>
          </c:marker>
          <c:dLbls>
            <c:dLbl>
              <c:idx val="9"/>
              <c:layout>
                <c:manualLayout>
                  <c:x val="2.0641367390051853E-2"/>
                  <c:y val="5.7713881694204452E-3"/>
                </c:manualLayout>
              </c:layout>
              <c:showLegendKey val="0"/>
              <c:showVal val="1"/>
              <c:showCatName val="0"/>
              <c:showSerName val="1"/>
              <c:showPercent val="0"/>
              <c:showBubbleSize val="0"/>
            </c:dLbl>
            <c:txPr>
              <a:bodyPr/>
              <a:lstStyle/>
              <a:p>
                <a:pPr>
                  <a:defRPr sz="1800" baseline="0"/>
                </a:pPr>
                <a:endParaRPr lang="fr-FR"/>
              </a:p>
            </c:txPr>
            <c:showLegendKey val="0"/>
            <c:showVal val="0"/>
            <c:showCatName val="0"/>
            <c:showSerName val="0"/>
            <c:showPercent val="0"/>
            <c:showBubbleSize val="0"/>
          </c:dLbls>
          <c:cat>
            <c:strRef>
              <c:f>'Comparatif-SideBySide'!$C$59:$L$59</c:f>
              <c:strCache>
                <c:ptCount val="10"/>
                <c:pt idx="0">
                  <c:v>Année 1</c:v>
                </c:pt>
                <c:pt idx="1">
                  <c:v>Année 2</c:v>
                </c:pt>
                <c:pt idx="2">
                  <c:v>Année 3</c:v>
                </c:pt>
                <c:pt idx="3">
                  <c:v>Année 4</c:v>
                </c:pt>
                <c:pt idx="4">
                  <c:v>Année 5</c:v>
                </c:pt>
                <c:pt idx="5">
                  <c:v>Année 6</c:v>
                </c:pt>
                <c:pt idx="6">
                  <c:v>Année 7</c:v>
                </c:pt>
                <c:pt idx="7">
                  <c:v>Année 8</c:v>
                </c:pt>
                <c:pt idx="8">
                  <c:v>Année 9</c:v>
                </c:pt>
                <c:pt idx="9">
                  <c:v>Année 10</c:v>
                </c:pt>
              </c:strCache>
            </c:strRef>
          </c:cat>
          <c:val>
            <c:numRef>
              <c:f>'Comparatif-SideBySide'!$C$91:$L$91</c:f>
              <c:numCache>
                <c:formatCode>_("$"* #,##0.00_);_("$"* \(#,##0.00\);_("$"* "-"??_);_(@_)</c:formatCode>
                <c:ptCount val="10"/>
                <c:pt idx="0">
                  <c:v>7811.0400000000009</c:v>
                </c:pt>
                <c:pt idx="1">
                  <c:v>15633.080000000002</c:v>
                </c:pt>
                <c:pt idx="2">
                  <c:v>23466.49</c:v>
                </c:pt>
                <c:pt idx="3">
                  <c:v>31311.654900000001</c:v>
                </c:pt>
                <c:pt idx="4">
                  <c:v>39168.975172999999</c:v>
                </c:pt>
                <c:pt idx="5">
                  <c:v>47038.867570210001</c:v>
                </c:pt>
                <c:pt idx="6">
                  <c:v>54921.765860051702</c:v>
                </c:pt>
                <c:pt idx="7">
                  <c:v>55407.08160261211</c:v>
                </c:pt>
                <c:pt idx="8">
                  <c:v>55906.324961291699</c:v>
                </c:pt>
                <c:pt idx="9">
                  <c:v>56419.985553476246</c:v>
                </c:pt>
              </c:numCache>
            </c:numRef>
          </c:val>
          <c:smooth val="0"/>
        </c:ser>
        <c:ser>
          <c:idx val="7"/>
          <c:order val="6"/>
          <c:tx>
            <c:v>TESLA</c:v>
          </c:tx>
          <c:marker>
            <c:symbol val="none"/>
          </c:marker>
          <c:dLbls>
            <c:dLbl>
              <c:idx val="9"/>
              <c:layout/>
              <c:showLegendKey val="0"/>
              <c:showVal val="1"/>
              <c:showCatName val="0"/>
              <c:showSerName val="1"/>
              <c:showPercent val="0"/>
              <c:showBubbleSize val="0"/>
            </c:dLbl>
            <c:txPr>
              <a:bodyPr/>
              <a:lstStyle/>
              <a:p>
                <a:pPr>
                  <a:defRPr sz="1800" b="0"/>
                </a:pPr>
                <a:endParaRPr lang="fr-FR"/>
              </a:p>
            </c:txPr>
            <c:showLegendKey val="0"/>
            <c:showVal val="0"/>
            <c:showCatName val="0"/>
            <c:showSerName val="0"/>
            <c:showPercent val="0"/>
            <c:showBubbleSize val="0"/>
          </c:dLbls>
          <c:val>
            <c:numRef>
              <c:f>'Comparatif-SideBySide'!$C$92:$L$92</c:f>
              <c:numCache>
                <c:formatCode>_("$"* #,##0.00_);_("$"* \(#,##0.00\);_("$"* "-"??_);_(@_)</c:formatCode>
                <c:ptCount val="10"/>
                <c:pt idx="0">
                  <c:v>15877.559999999998</c:v>
                </c:pt>
                <c:pt idx="1">
                  <c:v>31761.119999999995</c:v>
                </c:pt>
                <c:pt idx="2">
                  <c:v>47650.799999999996</c:v>
                </c:pt>
                <c:pt idx="3">
                  <c:v>63546.722399999991</c:v>
                </c:pt>
                <c:pt idx="4">
                  <c:v>79449.01204799999</c:v>
                </c:pt>
                <c:pt idx="5">
                  <c:v>95357.796288959988</c:v>
                </c:pt>
                <c:pt idx="6">
                  <c:v>111273.20501473919</c:v>
                </c:pt>
                <c:pt idx="7">
                  <c:v>112217.81071503396</c:v>
                </c:pt>
                <c:pt idx="8">
                  <c:v>113169.30852933464</c:v>
                </c:pt>
                <c:pt idx="9">
                  <c:v>114127.83629992133</c:v>
                </c:pt>
              </c:numCache>
            </c:numRef>
          </c:val>
          <c:smooth val="0"/>
        </c:ser>
        <c:ser>
          <c:idx val="4"/>
          <c:order val="7"/>
          <c:tx>
            <c:v>Yaris</c:v>
          </c:tx>
          <c:spPr>
            <a:ln w="57150">
              <a:solidFill>
                <a:srgbClr val="FF0000"/>
              </a:solidFill>
            </a:ln>
          </c:spPr>
          <c:marker>
            <c:symbol val="none"/>
          </c:marker>
          <c:dLbls>
            <c:dLbl>
              <c:idx val="9"/>
              <c:layout>
                <c:manualLayout>
                  <c:x val="2.1755252544651431E-2"/>
                  <c:y val="1.3771267479282475E-3"/>
                </c:manualLayout>
              </c:layout>
              <c:spPr/>
              <c:txPr>
                <a:bodyPr/>
                <a:lstStyle/>
                <a:p>
                  <a:pPr>
                    <a:defRPr sz="1800" baseline="0"/>
                  </a:pPr>
                  <a:endParaRPr lang="fr-FR"/>
                </a:p>
              </c:txPr>
              <c:showLegendKey val="0"/>
              <c:showVal val="1"/>
              <c:showCatName val="0"/>
              <c:showSerName val="1"/>
              <c:showPercent val="0"/>
              <c:showBubbleSize val="0"/>
            </c:dLbl>
            <c:showLegendKey val="0"/>
            <c:showVal val="0"/>
            <c:showCatName val="0"/>
            <c:showSerName val="0"/>
            <c:showPercent val="0"/>
            <c:showBubbleSize val="0"/>
          </c:dLbls>
          <c:cat>
            <c:strRef>
              <c:f>'Comparatif-SideBySide'!$C$59:$L$59</c:f>
              <c:strCache>
                <c:ptCount val="10"/>
                <c:pt idx="0">
                  <c:v>Année 1</c:v>
                </c:pt>
                <c:pt idx="1">
                  <c:v>Année 2</c:v>
                </c:pt>
                <c:pt idx="2">
                  <c:v>Année 3</c:v>
                </c:pt>
                <c:pt idx="3">
                  <c:v>Année 4</c:v>
                </c:pt>
                <c:pt idx="4">
                  <c:v>Année 5</c:v>
                </c:pt>
                <c:pt idx="5">
                  <c:v>Année 6</c:v>
                </c:pt>
                <c:pt idx="6">
                  <c:v>Année 7</c:v>
                </c:pt>
                <c:pt idx="7">
                  <c:v>Année 8</c:v>
                </c:pt>
                <c:pt idx="8">
                  <c:v>Année 9</c:v>
                </c:pt>
                <c:pt idx="9">
                  <c:v>Année 10</c:v>
                </c:pt>
              </c:strCache>
            </c:strRef>
          </c:cat>
          <c:val>
            <c:numRef>
              <c:f>'Comparatif-SideBySide'!$C$93:$L$93</c:f>
              <c:numCache>
                <c:formatCode>_("$"* #,##0.00_);_("$"* \(#,##0.00\);_("$"* "-"??_);_(@_)</c:formatCode>
                <c:ptCount val="10"/>
                <c:pt idx="0">
                  <c:v>7232.4427586206893</c:v>
                </c:pt>
                <c:pt idx="1">
                  <c:v>14624.885517241379</c:v>
                </c:pt>
                <c:pt idx="2">
                  <c:v>22186.82827586207</c:v>
                </c:pt>
                <c:pt idx="3">
                  <c:v>29928.396034482761</c:v>
                </c:pt>
                <c:pt idx="4">
                  <c:v>37860.385043103452</c:v>
                </c:pt>
                <c:pt idx="5">
                  <c:v>45994.312864224143</c:v>
                </c:pt>
                <c:pt idx="6">
                  <c:v>54342.472588469835</c:v>
                </c:pt>
                <c:pt idx="7">
                  <c:v>58585.548817376082</c:v>
                </c:pt>
                <c:pt idx="8">
                  <c:v>63070.009614227645</c:v>
                </c:pt>
                <c:pt idx="9">
                  <c:v>67810.84728307178</c:v>
                </c:pt>
              </c:numCache>
            </c:numRef>
          </c:val>
          <c:smooth val="0"/>
        </c:ser>
        <c:ser>
          <c:idx val="8"/>
          <c:order val="8"/>
          <c:tx>
            <c:v>Avalon</c:v>
          </c:tx>
          <c:spPr>
            <a:ln w="44450">
              <a:solidFill>
                <a:srgbClr val="FF0000"/>
              </a:solidFill>
            </a:ln>
          </c:spPr>
          <c:marker>
            <c:symbol val="none"/>
          </c:marker>
          <c:dLbls>
            <c:dLbl>
              <c:idx val="9"/>
              <c:layout>
                <c:manualLayout>
                  <c:x val="2.8002544483175872E-2"/>
                  <c:y val="-6.034506926140961E-3"/>
                </c:manualLayout>
              </c:layout>
              <c:tx>
                <c:rich>
                  <a:bodyPr/>
                  <a:lstStyle/>
                  <a:p>
                    <a:r>
                      <a:rPr lang="en-US" sz="2000"/>
                      <a:t>Avalon;  99 353,56  $ </a:t>
                    </a:r>
                  </a:p>
                </c:rich>
              </c:tx>
              <c:showLegendKey val="0"/>
              <c:showVal val="1"/>
              <c:showCatName val="0"/>
              <c:showSerName val="1"/>
              <c:showPercent val="0"/>
              <c:showBubbleSize val="0"/>
            </c:dLbl>
            <c:showLegendKey val="0"/>
            <c:showVal val="0"/>
            <c:showCatName val="0"/>
            <c:showSerName val="0"/>
            <c:showPercent val="0"/>
            <c:showBubbleSize val="0"/>
          </c:dLbls>
          <c:val>
            <c:numRef>
              <c:f>'Comparatif-SideBySide'!$C$94:$L$94</c:f>
              <c:numCache>
                <c:formatCode>_("$"* #,##0.00_);_("$"* \(#,##0.00\);_("$"* "-"??_);_(@_)</c:formatCode>
                <c:ptCount val="10"/>
                <c:pt idx="0">
                  <c:v>12963.2</c:v>
                </c:pt>
                <c:pt idx="1">
                  <c:v>26101.4</c:v>
                </c:pt>
                <c:pt idx="2">
                  <c:v>39425.600000000006</c:v>
                </c:pt>
                <c:pt idx="3">
                  <c:v>52947.575000000012</c:v>
                </c:pt>
                <c:pt idx="4">
                  <c:v>66679.936250000013</c:v>
                </c:pt>
                <c:pt idx="5">
                  <c:v>80636.197812500017</c:v>
                </c:pt>
                <c:pt idx="6">
                  <c:v>84917.648928125011</c:v>
                </c:pt>
                <c:pt idx="7">
                  <c:v>89453.032722031261</c:v>
                </c:pt>
                <c:pt idx="8">
                  <c:v>94259.031840382828</c:v>
                </c:pt>
                <c:pt idx="9">
                  <c:v>99353.561662876964</c:v>
                </c:pt>
              </c:numCache>
            </c:numRef>
          </c:val>
          <c:smooth val="0"/>
        </c:ser>
        <c:ser>
          <c:idx val="9"/>
          <c:order val="9"/>
          <c:tx>
            <c:v>BMW320i</c:v>
          </c:tx>
          <c:spPr>
            <a:ln w="44450">
              <a:solidFill>
                <a:srgbClr val="FF0000"/>
              </a:solidFill>
            </a:ln>
          </c:spPr>
          <c:marker>
            <c:symbol val="none"/>
          </c:marker>
          <c:dLbls>
            <c:dLbl>
              <c:idx val="9"/>
              <c:layout/>
              <c:tx>
                <c:rich>
                  <a:bodyPr/>
                  <a:lstStyle/>
                  <a:p>
                    <a:r>
                      <a:rPr lang="en-US" sz="2000"/>
                      <a:t>BMW320i;  95 843,56  $ </a:t>
                    </a:r>
                  </a:p>
                </c:rich>
              </c:tx>
              <c:showLegendKey val="0"/>
              <c:showVal val="1"/>
              <c:showCatName val="0"/>
              <c:showSerName val="1"/>
              <c:showPercent val="0"/>
              <c:showBubbleSize val="0"/>
            </c:dLbl>
            <c:txPr>
              <a:bodyPr/>
              <a:lstStyle/>
              <a:p>
                <a:pPr algn="ctr">
                  <a:defRPr lang="fr-CA" sz="10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0"/>
            <c:showBubbleSize val="0"/>
          </c:dLbls>
          <c:val>
            <c:numRef>
              <c:f>'Comparatif-SideBySide'!$C$95:$L$95</c:f>
              <c:numCache>
                <c:formatCode>_("$"* #,##0.00_);_("$"* \(#,##0.00\);_("$"* "-"??_);_(@_)</c:formatCode>
                <c:ptCount val="10"/>
                <c:pt idx="0">
                  <c:v>10406</c:v>
                </c:pt>
                <c:pt idx="1">
                  <c:v>21626.6</c:v>
                </c:pt>
                <c:pt idx="2">
                  <c:v>33033.199999999997</c:v>
                </c:pt>
                <c:pt idx="3">
                  <c:v>44637.574999999997</c:v>
                </c:pt>
                <c:pt idx="4">
                  <c:v>56452.336249999993</c:v>
                </c:pt>
                <c:pt idx="5">
                  <c:v>68490.997812499991</c:v>
                </c:pt>
                <c:pt idx="6">
                  <c:v>80768.04892812499</c:v>
                </c:pt>
                <c:pt idx="7">
                  <c:v>85303.432722031241</c:v>
                </c:pt>
                <c:pt idx="8">
                  <c:v>90109.431840382807</c:v>
                </c:pt>
                <c:pt idx="9">
                  <c:v>95203.961662876944</c:v>
                </c:pt>
              </c:numCache>
            </c:numRef>
          </c:val>
          <c:smooth val="0"/>
        </c:ser>
        <c:dLbls>
          <c:showLegendKey val="0"/>
          <c:showVal val="0"/>
          <c:showCatName val="0"/>
          <c:showSerName val="0"/>
          <c:showPercent val="0"/>
          <c:showBubbleSize val="0"/>
        </c:dLbls>
        <c:marker val="1"/>
        <c:smooth val="0"/>
        <c:axId val="76430336"/>
        <c:axId val="76448512"/>
      </c:lineChart>
      <c:catAx>
        <c:axId val="76430336"/>
        <c:scaling>
          <c:orientation val="minMax"/>
        </c:scaling>
        <c:delete val="0"/>
        <c:axPos val="b"/>
        <c:majorTickMark val="out"/>
        <c:minorTickMark val="none"/>
        <c:tickLblPos val="nextTo"/>
        <c:txPr>
          <a:bodyPr/>
          <a:lstStyle/>
          <a:p>
            <a:pPr>
              <a:defRPr sz="1100" b="1" i="0" baseline="0"/>
            </a:pPr>
            <a:endParaRPr lang="fr-FR"/>
          </a:p>
        </c:txPr>
        <c:crossAx val="76448512"/>
        <c:crosses val="autoZero"/>
        <c:auto val="1"/>
        <c:lblAlgn val="ctr"/>
        <c:lblOffset val="100"/>
        <c:noMultiLvlLbl val="0"/>
      </c:catAx>
      <c:valAx>
        <c:axId val="76448512"/>
        <c:scaling>
          <c:orientation val="minMax"/>
        </c:scaling>
        <c:delete val="0"/>
        <c:axPos val="l"/>
        <c:majorGridlines/>
        <c:numFmt formatCode="_(&quot;$&quot;* #,##0.00_);_(&quot;$&quot;* \(#,##0.00\);_(&quot;$&quot;* &quot;-&quot;??_);_(@_)" sourceLinked="1"/>
        <c:majorTickMark val="out"/>
        <c:minorTickMark val="none"/>
        <c:tickLblPos val="nextTo"/>
        <c:crossAx val="76430336"/>
        <c:crosses val="autoZero"/>
        <c:crossBetween val="between"/>
      </c:valAx>
    </c:plotArea>
    <c:plotVisOnly val="1"/>
    <c:dispBlanksAs val="gap"/>
    <c:showDLblsOverMax val="0"/>
  </c:chart>
  <c:printSettings>
    <c:headerFooter/>
    <c:pageMargins b="0.75" l="0.7" r="0.7" t="0.75" header="0.3" footer="0.3"/>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A">
                <a:solidFill>
                  <a:srgbClr val="0070C0"/>
                </a:solidFill>
              </a:rPr>
              <a:t>VÉ</a:t>
            </a:r>
            <a:r>
              <a:rPr lang="fr-CA"/>
              <a:t> vs </a:t>
            </a:r>
            <a:r>
              <a:rPr lang="fr-CA">
                <a:solidFill>
                  <a:srgbClr val="FF0000"/>
                </a:solidFill>
              </a:rPr>
              <a:t>GAS</a:t>
            </a:r>
          </a:p>
        </c:rich>
      </c:tx>
      <c:layout>
        <c:manualLayout>
          <c:xMode val="edge"/>
          <c:yMode val="edge"/>
          <c:x val="0.19431933508311461"/>
          <c:y val="2.7777777777777776E-2"/>
        </c:manualLayout>
      </c:layout>
      <c:overlay val="1"/>
    </c:title>
    <c:autoTitleDeleted val="0"/>
    <c:plotArea>
      <c:layout/>
      <c:lineChart>
        <c:grouping val="standard"/>
        <c:varyColors val="0"/>
        <c:ser>
          <c:idx val="0"/>
          <c:order val="0"/>
          <c:tx>
            <c:v>VÉ</c:v>
          </c:tx>
          <c:marker>
            <c:symbol val="none"/>
          </c:marker>
          <c:dLbls>
            <c:dLbl>
              <c:idx val="9"/>
              <c:showLegendKey val="0"/>
              <c:showVal val="1"/>
              <c:showCatName val="0"/>
              <c:showSerName val="1"/>
              <c:showPercent val="0"/>
              <c:showBubbleSize val="0"/>
            </c:dLbl>
            <c:showLegendKey val="0"/>
            <c:showVal val="0"/>
            <c:showCatName val="0"/>
            <c:showSerName val="0"/>
            <c:showPercent val="0"/>
            <c:showBubbleSize val="0"/>
          </c:dLbls>
          <c:val>
            <c:numRef>
              <c:f>English!$C$27:$L$27</c:f>
              <c:numCache>
                <c:formatCode>_("$"* #,##0.00_);_("$"* \(#,##0.00\);_("$"* "-"??_);_(@_)</c:formatCode>
                <c:ptCount val="10"/>
                <c:pt idx="0">
                  <c:v>5390.0999999999995</c:v>
                </c:pt>
                <c:pt idx="1">
                  <c:v>10789.059999999998</c:v>
                </c:pt>
                <c:pt idx="2">
                  <c:v>16197.169699999997</c:v>
                </c:pt>
                <c:pt idx="3">
                  <c:v>21614.730218999997</c:v>
                </c:pt>
                <c:pt idx="4">
                  <c:v>27042.054604629997</c:v>
                </c:pt>
                <c:pt idx="5">
                  <c:v>32479.468367035097</c:v>
                </c:pt>
                <c:pt idx="6">
                  <c:v>37927.310038203927</c:v>
                </c:pt>
                <c:pt idx="7">
                  <c:v>38326.331757987537</c:v>
                </c:pt>
                <c:pt idx="8">
                  <c:v>38736.499888117796</c:v>
                </c:pt>
                <c:pt idx="9">
                  <c:v>39158.195655599186</c:v>
                </c:pt>
              </c:numCache>
            </c:numRef>
          </c:val>
          <c:smooth val="0"/>
        </c:ser>
        <c:ser>
          <c:idx val="1"/>
          <c:order val="1"/>
          <c:tx>
            <c:v>GAZ</c:v>
          </c:tx>
          <c:marker>
            <c:symbol val="none"/>
          </c:marker>
          <c:dLbls>
            <c:dLbl>
              <c:idx val="9"/>
              <c:showLegendKey val="0"/>
              <c:showVal val="1"/>
              <c:showCatName val="0"/>
              <c:showSerName val="1"/>
              <c:showPercent val="0"/>
              <c:showBubbleSize val="0"/>
            </c:dLbl>
            <c:showLegendKey val="0"/>
            <c:showVal val="0"/>
            <c:showCatName val="0"/>
            <c:showSerName val="0"/>
            <c:showPercent val="0"/>
            <c:showBubbleSize val="0"/>
          </c:dLbls>
          <c:val>
            <c:numRef>
              <c:f>English!$C$40:$L$40</c:f>
              <c:numCache>
                <c:formatCode>_("$"* #,##0.00_);_("$"* \(#,##0.00\);_("$"* "-"??_);_(@_)</c:formatCode>
                <c:ptCount val="10"/>
                <c:pt idx="0">
                  <c:v>8168.44</c:v>
                </c:pt>
                <c:pt idx="1">
                  <c:v>16504.879999999997</c:v>
                </c:pt>
                <c:pt idx="2">
                  <c:v>25017.719999999998</c:v>
                </c:pt>
                <c:pt idx="3">
                  <c:v>33715.78</c:v>
                </c:pt>
                <c:pt idx="4">
                  <c:v>42608.320999999996</c:v>
                </c:pt>
                <c:pt idx="5">
                  <c:v>51705.067049999998</c:v>
                </c:pt>
                <c:pt idx="6">
                  <c:v>61016.228402499997</c:v>
                </c:pt>
                <c:pt idx="7">
                  <c:v>65744.085822624998</c:v>
                </c:pt>
                <c:pt idx="8">
                  <c:v>70708.336113756246</c:v>
                </c:pt>
                <c:pt idx="9">
                  <c:v>75920.79891944406</c:v>
                </c:pt>
              </c:numCache>
            </c:numRef>
          </c:val>
          <c:smooth val="0"/>
        </c:ser>
        <c:dLbls>
          <c:showLegendKey val="0"/>
          <c:showVal val="0"/>
          <c:showCatName val="0"/>
          <c:showSerName val="0"/>
          <c:showPercent val="0"/>
          <c:showBubbleSize val="0"/>
        </c:dLbls>
        <c:marker val="1"/>
        <c:smooth val="0"/>
        <c:axId val="125156736"/>
        <c:axId val="120984704"/>
      </c:lineChart>
      <c:catAx>
        <c:axId val="125156736"/>
        <c:scaling>
          <c:orientation val="minMax"/>
        </c:scaling>
        <c:delete val="0"/>
        <c:axPos val="b"/>
        <c:majorTickMark val="out"/>
        <c:minorTickMark val="none"/>
        <c:tickLblPos val="nextTo"/>
        <c:crossAx val="120984704"/>
        <c:crosses val="autoZero"/>
        <c:auto val="1"/>
        <c:lblAlgn val="ctr"/>
        <c:lblOffset val="100"/>
        <c:noMultiLvlLbl val="0"/>
      </c:catAx>
      <c:valAx>
        <c:axId val="120984704"/>
        <c:scaling>
          <c:orientation val="minMax"/>
        </c:scaling>
        <c:delete val="0"/>
        <c:axPos val="l"/>
        <c:majorGridlines/>
        <c:numFmt formatCode="_(&quot;$&quot;* #,##0.00_);_(&quot;$&quot;* \(#,##0.00\);_(&quot;$&quot;* &quot;-&quot;??_);_(@_)" sourceLinked="1"/>
        <c:majorTickMark val="out"/>
        <c:minorTickMark val="none"/>
        <c:tickLblPos val="nextTo"/>
        <c:crossAx val="125156736"/>
        <c:crosses val="autoZero"/>
        <c:crossBetween val="between"/>
      </c:valAx>
    </c:plotArea>
    <c:legend>
      <c:legendPos val="r"/>
      <c:layout>
        <c:manualLayout>
          <c:xMode val="edge"/>
          <c:yMode val="edge"/>
          <c:x val="0.85696455625973578"/>
          <c:y val="0.70263024841441557"/>
          <c:w val="0.12677528113863815"/>
          <c:h val="0.17075461176418102"/>
        </c:manualLayout>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269404951635555E-2"/>
          <c:y val="9.3111377556291883E-3"/>
          <c:w val="0.7404687088647951"/>
          <c:h val="0.95847513065232537"/>
        </c:manualLayout>
      </c:layout>
      <c:lineChart>
        <c:grouping val="standard"/>
        <c:varyColors val="0"/>
        <c:ser>
          <c:idx val="0"/>
          <c:order val="0"/>
          <c:tx>
            <c:v>Leaf</c:v>
          </c:tx>
          <c:marker>
            <c:symbol val="none"/>
          </c:marker>
          <c:dLbls>
            <c:dLbl>
              <c:idx val="9"/>
              <c:layout>
                <c:manualLayout>
                  <c:x val="4.0898708872846072E-2"/>
                  <c:y val="4.1312559657884296E-3"/>
                </c:manualLayout>
              </c:layout>
              <c:spPr/>
              <c:txPr>
                <a:bodyPr/>
                <a:lstStyle/>
                <a:p>
                  <a:pPr>
                    <a:defRPr sz="1800" baseline="0"/>
                  </a:pPr>
                  <a:endParaRPr lang="fr-FR"/>
                </a:p>
              </c:txPr>
              <c:showLegendKey val="0"/>
              <c:showVal val="1"/>
              <c:showCatName val="0"/>
              <c:showSerName val="1"/>
              <c:showPercent val="0"/>
              <c:showBubbleSize val="0"/>
            </c:dLbl>
            <c:showLegendKey val="0"/>
            <c:showVal val="0"/>
            <c:showCatName val="0"/>
            <c:showSerName val="0"/>
            <c:showPercent val="0"/>
            <c:showBubbleSize val="0"/>
          </c:dLbls>
          <c:val>
            <c:numRef>
              <c:f>'Comparatif-SideBySide CASH'!$C$75:$L$75</c:f>
              <c:numCache>
                <c:formatCode>_("$"* #,##0.00_);_("$"* \(#,##0.00\);_("$"* "-"??_);_(@_)</c:formatCode>
                <c:ptCount val="10"/>
                <c:pt idx="0">
                  <c:v>31243.35</c:v>
                </c:pt>
                <c:pt idx="1">
                  <c:v>31526.1</c:v>
                </c:pt>
                <c:pt idx="2">
                  <c:v>31816.8675</c:v>
                </c:pt>
                <c:pt idx="3">
                  <c:v>32115.930974999999</c:v>
                </c:pt>
                <c:pt idx="4">
                  <c:v>32423.58037575</c:v>
                </c:pt>
                <c:pt idx="5">
                  <c:v>32740.117653577501</c:v>
                </c:pt>
                <c:pt idx="6">
                  <c:v>33065.857310477179</c:v>
                </c:pt>
                <c:pt idx="7">
                  <c:v>33401.126975706255</c:v>
                </c:pt>
                <c:pt idx="8">
                  <c:v>33746.268010190885</c:v>
                </c:pt>
                <c:pt idx="9">
                  <c:v>34101.636140113733</c:v>
                </c:pt>
              </c:numCache>
            </c:numRef>
          </c:val>
          <c:smooth val="0"/>
        </c:ser>
        <c:ser>
          <c:idx val="1"/>
          <c:order val="1"/>
          <c:tx>
            <c:v>Sparks</c:v>
          </c:tx>
          <c:marker>
            <c:symbol val="none"/>
          </c:marker>
          <c:dLbls>
            <c:dLbl>
              <c:idx val="9"/>
              <c:layout>
                <c:manualLayout>
                  <c:x val="3.811016054060657E-2"/>
                  <c:y val="-1.084319151125572E-7"/>
                </c:manualLayout>
              </c:layout>
              <c:spPr/>
              <c:txPr>
                <a:bodyPr/>
                <a:lstStyle/>
                <a:p>
                  <a:pPr>
                    <a:defRPr sz="1800" baseline="0"/>
                  </a:pPr>
                  <a:endParaRPr lang="fr-FR"/>
                </a:p>
              </c:txPr>
              <c:showLegendKey val="0"/>
              <c:showVal val="1"/>
              <c:showCatName val="0"/>
              <c:showSerName val="1"/>
              <c:showPercent val="0"/>
              <c:showBubbleSize val="0"/>
            </c:dLbl>
            <c:showLegendKey val="0"/>
            <c:showVal val="0"/>
            <c:showCatName val="0"/>
            <c:showSerName val="0"/>
            <c:showPercent val="0"/>
            <c:showBubbleSize val="0"/>
          </c:dLbls>
          <c:val>
            <c:numRef>
              <c:f>'Comparatif-SideBySide CASH'!$C$76:$L$76</c:f>
              <c:numCache>
                <c:formatCode>_("$"* #,##0.00_);_("$"* \(#,##0.00\);_("$"* "-"??_);_(@_)</c:formatCode>
                <c:ptCount val="10"/>
                <c:pt idx="0">
                  <c:v>28449.999999999996</c:v>
                </c:pt>
                <c:pt idx="1">
                  <c:v>28732.749999999996</c:v>
                </c:pt>
                <c:pt idx="2">
                  <c:v>29023.517499999998</c:v>
                </c:pt>
                <c:pt idx="3">
                  <c:v>29322.580974999997</c:v>
                </c:pt>
                <c:pt idx="4">
                  <c:v>29630.230375749998</c:v>
                </c:pt>
                <c:pt idx="5">
                  <c:v>29946.767653577499</c:v>
                </c:pt>
                <c:pt idx="6">
                  <c:v>30272.507310477173</c:v>
                </c:pt>
                <c:pt idx="7">
                  <c:v>30607.776975706249</c:v>
                </c:pt>
                <c:pt idx="8">
                  <c:v>30952.918010190882</c:v>
                </c:pt>
                <c:pt idx="9">
                  <c:v>31308.286140113734</c:v>
                </c:pt>
              </c:numCache>
            </c:numRef>
          </c:val>
          <c:smooth val="0"/>
        </c:ser>
        <c:ser>
          <c:idx val="2"/>
          <c:order val="2"/>
          <c:tx>
            <c:v>Volt Neuve</c:v>
          </c:tx>
          <c:marker>
            <c:symbol val="none"/>
          </c:marker>
          <c:dLbls>
            <c:dLbl>
              <c:idx val="9"/>
              <c:layout>
                <c:manualLayout>
                  <c:x val="3.160354776538106E-2"/>
                  <c:y val="-1.3770853219294765E-3"/>
                </c:manualLayout>
              </c:layout>
              <c:spPr/>
              <c:txPr>
                <a:bodyPr/>
                <a:lstStyle/>
                <a:p>
                  <a:pPr>
                    <a:defRPr sz="1800" baseline="0"/>
                  </a:pPr>
                  <a:endParaRPr lang="fr-FR"/>
                </a:p>
              </c:txPr>
              <c:showLegendKey val="0"/>
              <c:showVal val="1"/>
              <c:showCatName val="0"/>
              <c:showSerName val="1"/>
              <c:showPercent val="0"/>
              <c:showBubbleSize val="0"/>
            </c:dLbl>
            <c:showLegendKey val="0"/>
            <c:showVal val="0"/>
            <c:showCatName val="0"/>
            <c:showSerName val="0"/>
            <c:showPercent val="0"/>
            <c:showBubbleSize val="0"/>
          </c:dLbls>
          <c:val>
            <c:numRef>
              <c:f>'Comparatif-SideBySide CASH'!$C$77:$L$77</c:f>
              <c:numCache>
                <c:formatCode>_("$"* #,##0.00_);_("$"* \(#,##0.00\);_("$"* "-"??_);_(@_)</c:formatCode>
                <c:ptCount val="10"/>
                <c:pt idx="0">
                  <c:v>275</c:v>
                </c:pt>
                <c:pt idx="1">
                  <c:v>557.75</c:v>
                </c:pt>
                <c:pt idx="2">
                  <c:v>848.51750000000004</c:v>
                </c:pt>
                <c:pt idx="3">
                  <c:v>1147.5809750000001</c:v>
                </c:pt>
                <c:pt idx="4">
                  <c:v>1455.2303757500001</c:v>
                </c:pt>
                <c:pt idx="5">
                  <c:v>1771.7676535775001</c:v>
                </c:pt>
                <c:pt idx="6">
                  <c:v>2097.507310477175</c:v>
                </c:pt>
                <c:pt idx="7">
                  <c:v>2432.7769757062497</c:v>
                </c:pt>
                <c:pt idx="8">
                  <c:v>2777.9180101908823</c:v>
                </c:pt>
                <c:pt idx="9">
                  <c:v>3133.2861401137334</c:v>
                </c:pt>
              </c:numCache>
            </c:numRef>
          </c:val>
          <c:smooth val="0"/>
        </c:ser>
        <c:ser>
          <c:idx val="3"/>
          <c:order val="3"/>
          <c:tx>
            <c:v>Volt Usagée</c:v>
          </c:tx>
          <c:marker>
            <c:symbol val="none"/>
          </c:marker>
          <c:dLbls>
            <c:dLbl>
              <c:idx val="9"/>
              <c:layout>
                <c:manualLayout>
                  <c:x val="3.718064442986007E-2"/>
                  <c:y val="5.0492545176556894E-17"/>
                </c:manualLayout>
              </c:layout>
              <c:spPr/>
              <c:txPr>
                <a:bodyPr/>
                <a:lstStyle/>
                <a:p>
                  <a:pPr>
                    <a:defRPr sz="1800" baseline="0"/>
                  </a:pPr>
                  <a:endParaRPr lang="fr-FR"/>
                </a:p>
              </c:txPr>
              <c:showLegendKey val="0"/>
              <c:showVal val="1"/>
              <c:showCatName val="0"/>
              <c:showSerName val="1"/>
              <c:showPercent val="0"/>
              <c:showBubbleSize val="0"/>
            </c:dLbl>
            <c:showLegendKey val="0"/>
            <c:showVal val="0"/>
            <c:showCatName val="0"/>
            <c:showSerName val="0"/>
            <c:showPercent val="0"/>
            <c:showBubbleSize val="0"/>
          </c:dLbls>
          <c:val>
            <c:numRef>
              <c:f>'Comparatif-SideBySide CASH'!$C$78:$L$78</c:f>
              <c:numCache>
                <c:formatCode>_("$"* #,##0.00_);_("$"* \(#,##0.00\);_("$"* "-"??_);_(@_)</c:formatCode>
                <c:ptCount val="10"/>
                <c:pt idx="0">
                  <c:v>24424.999999999996</c:v>
                </c:pt>
                <c:pt idx="1">
                  <c:v>24707.749999999996</c:v>
                </c:pt>
                <c:pt idx="2">
                  <c:v>24998.517499999998</c:v>
                </c:pt>
                <c:pt idx="3">
                  <c:v>25297.580974999997</c:v>
                </c:pt>
                <c:pt idx="4">
                  <c:v>25605.230375749998</c:v>
                </c:pt>
                <c:pt idx="5">
                  <c:v>25921.767653577499</c:v>
                </c:pt>
                <c:pt idx="6">
                  <c:v>26247.507310477173</c:v>
                </c:pt>
                <c:pt idx="7">
                  <c:v>26582.776975706249</c:v>
                </c:pt>
                <c:pt idx="8">
                  <c:v>26927.918010190882</c:v>
                </c:pt>
                <c:pt idx="9">
                  <c:v>27283.286140113734</c:v>
                </c:pt>
              </c:numCache>
            </c:numRef>
          </c:val>
          <c:smooth val="0"/>
        </c:ser>
        <c:ser>
          <c:idx val="5"/>
          <c:order val="4"/>
          <c:tx>
            <c:v>BMW i3</c:v>
          </c:tx>
          <c:marker>
            <c:symbol val="none"/>
          </c:marker>
          <c:dLbls>
            <c:dLbl>
              <c:idx val="9"/>
              <c:layout>
                <c:manualLayout>
                  <c:x val="3.6251128319113569E-2"/>
                  <c:y val="2.7541706438589529E-3"/>
                </c:manualLayout>
              </c:layout>
              <c:showLegendKey val="0"/>
              <c:showVal val="1"/>
              <c:showCatName val="0"/>
              <c:showSerName val="1"/>
              <c:showPercent val="0"/>
              <c:showBubbleSize val="0"/>
            </c:dLbl>
            <c:txPr>
              <a:bodyPr/>
              <a:lstStyle/>
              <a:p>
                <a:pPr>
                  <a:defRPr sz="1800" baseline="0"/>
                </a:pPr>
                <a:endParaRPr lang="fr-FR"/>
              </a:p>
            </c:txPr>
            <c:showLegendKey val="0"/>
            <c:showVal val="0"/>
            <c:showCatName val="0"/>
            <c:showSerName val="0"/>
            <c:showPercent val="0"/>
            <c:showBubbleSize val="0"/>
          </c:dLbls>
          <c:val>
            <c:numRef>
              <c:f>'Comparatif-SideBySide CASH'!$C$79:$L$79</c:f>
              <c:numCache>
                <c:formatCode>_("$"* #,##0.00_);_("$"* \(#,##0.00\);_("$"* "-"??_);_(@_)</c:formatCode>
                <c:ptCount val="10"/>
                <c:pt idx="0">
                  <c:v>44435</c:v>
                </c:pt>
                <c:pt idx="1">
                  <c:v>44717.75</c:v>
                </c:pt>
                <c:pt idx="2">
                  <c:v>45008.517500000002</c:v>
                </c:pt>
                <c:pt idx="3">
                  <c:v>45307.580975000004</c:v>
                </c:pt>
                <c:pt idx="4">
                  <c:v>45615.230375750005</c:v>
                </c:pt>
                <c:pt idx="5">
                  <c:v>45931.767653577503</c:v>
                </c:pt>
                <c:pt idx="6">
                  <c:v>46257.50731047718</c:v>
                </c:pt>
                <c:pt idx="7">
                  <c:v>46592.776975706256</c:v>
                </c:pt>
                <c:pt idx="8">
                  <c:v>46937.918010190886</c:v>
                </c:pt>
                <c:pt idx="9">
                  <c:v>47293.286140113734</c:v>
                </c:pt>
              </c:numCache>
            </c:numRef>
          </c:val>
          <c:smooth val="0"/>
        </c:ser>
        <c:ser>
          <c:idx val="4"/>
          <c:order val="5"/>
          <c:tx>
            <c:v>Yaris</c:v>
          </c:tx>
          <c:spPr>
            <a:ln w="57150">
              <a:solidFill>
                <a:srgbClr val="FF0000"/>
              </a:solidFill>
            </a:ln>
          </c:spPr>
          <c:marker>
            <c:symbol val="none"/>
          </c:marker>
          <c:dLbls>
            <c:dLbl>
              <c:idx val="9"/>
              <c:layout>
                <c:manualLayout>
                  <c:x val="3.3462579986874061E-2"/>
                  <c:y val="1.3770853219294765E-3"/>
                </c:manualLayout>
              </c:layout>
              <c:spPr/>
              <c:txPr>
                <a:bodyPr/>
                <a:lstStyle/>
                <a:p>
                  <a:pPr>
                    <a:defRPr sz="1800" baseline="0"/>
                  </a:pPr>
                  <a:endParaRPr lang="fr-FR"/>
                </a:p>
              </c:txPr>
              <c:showLegendKey val="0"/>
              <c:showVal val="1"/>
              <c:showCatName val="0"/>
              <c:showSerName val="1"/>
              <c:showPercent val="0"/>
              <c:showBubbleSize val="0"/>
            </c:dLbl>
            <c:showLegendKey val="0"/>
            <c:showVal val="0"/>
            <c:showCatName val="0"/>
            <c:showSerName val="0"/>
            <c:showPercent val="0"/>
            <c:showBubbleSize val="0"/>
          </c:dLbls>
          <c:val>
            <c:numRef>
              <c:f>'Comparatif-SideBySide CASH'!$C$80:$L$80</c:f>
              <c:numCache>
                <c:formatCode>_("$"* #,##0.00_);_("$"* \(#,##0.00\);_("$"* "-"??_);_(@_)</c:formatCode>
                <c:ptCount val="10"/>
                <c:pt idx="0">
                  <c:v>27624.999999999996</c:v>
                </c:pt>
                <c:pt idx="1">
                  <c:v>30699.999999999996</c:v>
                </c:pt>
                <c:pt idx="2">
                  <c:v>33963.25</c:v>
                </c:pt>
                <c:pt idx="3">
                  <c:v>37429.337500000001</c:v>
                </c:pt>
                <c:pt idx="4">
                  <c:v>41114.355625000004</c:v>
                </c:pt>
                <c:pt idx="5">
                  <c:v>45036.094843750005</c:v>
                </c:pt>
                <c:pt idx="6">
                  <c:v>49214.261739062509</c:v>
                </c:pt>
                <c:pt idx="7">
                  <c:v>53670.728802109385</c:v>
                </c:pt>
                <c:pt idx="8">
                  <c:v>58429.819814722665</c:v>
                </c:pt>
                <c:pt idx="9">
                  <c:v>63518.636063842787</c:v>
                </c:pt>
              </c:numCache>
            </c:numRef>
          </c:val>
          <c:smooth val="0"/>
        </c:ser>
        <c:dLbls>
          <c:showLegendKey val="0"/>
          <c:showVal val="0"/>
          <c:showCatName val="0"/>
          <c:showSerName val="0"/>
          <c:showPercent val="0"/>
          <c:showBubbleSize val="0"/>
        </c:dLbls>
        <c:marker val="1"/>
        <c:smooth val="0"/>
        <c:axId val="77187712"/>
        <c:axId val="77197696"/>
      </c:lineChart>
      <c:catAx>
        <c:axId val="77187712"/>
        <c:scaling>
          <c:orientation val="minMax"/>
        </c:scaling>
        <c:delete val="0"/>
        <c:axPos val="b"/>
        <c:majorTickMark val="out"/>
        <c:minorTickMark val="none"/>
        <c:tickLblPos val="nextTo"/>
        <c:crossAx val="77197696"/>
        <c:crosses val="autoZero"/>
        <c:auto val="1"/>
        <c:lblAlgn val="ctr"/>
        <c:lblOffset val="100"/>
        <c:noMultiLvlLbl val="0"/>
      </c:catAx>
      <c:valAx>
        <c:axId val="77197696"/>
        <c:scaling>
          <c:orientation val="minMax"/>
        </c:scaling>
        <c:delete val="0"/>
        <c:axPos val="l"/>
        <c:majorGridlines/>
        <c:numFmt formatCode="_(&quot;$&quot;* #,##0.00_);_(&quot;$&quot;* \(#,##0.00\);_(&quot;$&quot;* &quot;-&quot;??_);_(@_)" sourceLinked="1"/>
        <c:majorTickMark val="out"/>
        <c:minorTickMark val="none"/>
        <c:tickLblPos val="nextTo"/>
        <c:crossAx val="77187712"/>
        <c:crosses val="autoZero"/>
        <c:crossBetween val="between"/>
      </c:valAx>
    </c:plotArea>
    <c:legend>
      <c:legendPos val="r"/>
      <c:layout>
        <c:manualLayout>
          <c:xMode val="edge"/>
          <c:yMode val="edge"/>
          <c:x val="0.89361409989575513"/>
          <c:y val="0.76920266868292198"/>
          <c:w val="0.10638590010424487"/>
          <c:h val="0.18936831578236282"/>
        </c:manualLayout>
      </c:layout>
      <c:overlay val="0"/>
      <c:txPr>
        <a:bodyPr/>
        <a:lstStyle/>
        <a:p>
          <a:pPr>
            <a:defRPr sz="1400" baseline="0"/>
          </a:pPr>
          <a:endParaRPr lang="fr-FR"/>
        </a:p>
      </c:txPr>
    </c:legend>
    <c:plotVisOnly val="1"/>
    <c:dispBlanksAs val="gap"/>
    <c:showDLblsOverMax val="0"/>
  </c:chart>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269404951635555E-2"/>
          <c:y val="9.3111377556291883E-3"/>
          <c:w val="0.7404687088647951"/>
          <c:h val="0.95847513065232537"/>
        </c:manualLayout>
      </c:layout>
      <c:lineChart>
        <c:grouping val="standard"/>
        <c:varyColors val="0"/>
        <c:ser>
          <c:idx val="0"/>
          <c:order val="0"/>
          <c:tx>
            <c:v>Leaf</c:v>
          </c:tx>
          <c:marker>
            <c:symbol val="none"/>
          </c:marker>
          <c:dLbls>
            <c:dLbl>
              <c:idx val="9"/>
              <c:layout>
                <c:manualLayout>
                  <c:x val="4.0898708872846072E-2"/>
                  <c:y val="4.1312559657884296E-3"/>
                </c:manualLayout>
              </c:layout>
              <c:spPr/>
              <c:txPr>
                <a:bodyPr/>
                <a:lstStyle/>
                <a:p>
                  <a:pPr>
                    <a:defRPr sz="1800" baseline="0"/>
                  </a:pPr>
                  <a:endParaRPr lang="fr-FR"/>
                </a:p>
              </c:txPr>
              <c:showLegendKey val="0"/>
              <c:showVal val="1"/>
              <c:showCatName val="0"/>
              <c:showSerName val="1"/>
              <c:showPercent val="0"/>
              <c:showBubbleSize val="0"/>
            </c:dLbl>
            <c:showLegendKey val="0"/>
            <c:showVal val="0"/>
            <c:showCatName val="0"/>
            <c:showSerName val="0"/>
            <c:showPercent val="0"/>
            <c:showBubbleSize val="0"/>
          </c:dLbls>
          <c:val>
            <c:numRef>
              <c:f>'Comparatif-CASH only energy'!$C$75:$L$75</c:f>
              <c:numCache>
                <c:formatCode>_("$"* #,##0.00_);_("$"* \(#,##0.00\);_("$"* "-"??_);_(@_)</c:formatCode>
                <c:ptCount val="10"/>
                <c:pt idx="0">
                  <c:v>31243.35</c:v>
                </c:pt>
                <c:pt idx="1">
                  <c:v>31526.1</c:v>
                </c:pt>
                <c:pt idx="2">
                  <c:v>31816.8675</c:v>
                </c:pt>
                <c:pt idx="3">
                  <c:v>32115.930974999999</c:v>
                </c:pt>
                <c:pt idx="4">
                  <c:v>32423.58037575</c:v>
                </c:pt>
                <c:pt idx="5">
                  <c:v>32740.117653577501</c:v>
                </c:pt>
                <c:pt idx="6">
                  <c:v>33065.857310477179</c:v>
                </c:pt>
                <c:pt idx="7">
                  <c:v>33401.126975706255</c:v>
                </c:pt>
                <c:pt idx="8">
                  <c:v>33746.268010190885</c:v>
                </c:pt>
                <c:pt idx="9">
                  <c:v>34101.636140113733</c:v>
                </c:pt>
              </c:numCache>
            </c:numRef>
          </c:val>
          <c:smooth val="0"/>
        </c:ser>
        <c:ser>
          <c:idx val="1"/>
          <c:order val="1"/>
          <c:tx>
            <c:v>Sparks</c:v>
          </c:tx>
          <c:marker>
            <c:symbol val="none"/>
          </c:marker>
          <c:dLbls>
            <c:dLbl>
              <c:idx val="9"/>
              <c:layout>
                <c:manualLayout>
                  <c:x val="3.811016054060657E-2"/>
                  <c:y val="-1.084319151125572E-7"/>
                </c:manualLayout>
              </c:layout>
              <c:spPr/>
              <c:txPr>
                <a:bodyPr/>
                <a:lstStyle/>
                <a:p>
                  <a:pPr>
                    <a:defRPr sz="1800" baseline="0"/>
                  </a:pPr>
                  <a:endParaRPr lang="fr-FR"/>
                </a:p>
              </c:txPr>
              <c:showLegendKey val="0"/>
              <c:showVal val="1"/>
              <c:showCatName val="0"/>
              <c:showSerName val="1"/>
              <c:showPercent val="0"/>
              <c:showBubbleSize val="0"/>
            </c:dLbl>
            <c:showLegendKey val="0"/>
            <c:showVal val="0"/>
            <c:showCatName val="0"/>
            <c:showSerName val="0"/>
            <c:showPercent val="0"/>
            <c:showBubbleSize val="0"/>
          </c:dLbls>
          <c:val>
            <c:numRef>
              <c:f>'Comparatif-CASH only energy'!$C$76:$L$76</c:f>
              <c:numCache>
                <c:formatCode>_("$"* #,##0.00_);_("$"* \(#,##0.00\);_("$"* "-"??_);_(@_)</c:formatCode>
                <c:ptCount val="10"/>
                <c:pt idx="0">
                  <c:v>28449.999999999996</c:v>
                </c:pt>
                <c:pt idx="1">
                  <c:v>28732.749999999996</c:v>
                </c:pt>
                <c:pt idx="2">
                  <c:v>29023.517499999998</c:v>
                </c:pt>
                <c:pt idx="3">
                  <c:v>29322.580974999997</c:v>
                </c:pt>
                <c:pt idx="4">
                  <c:v>29630.230375749998</c:v>
                </c:pt>
                <c:pt idx="5">
                  <c:v>29946.767653577499</c:v>
                </c:pt>
                <c:pt idx="6">
                  <c:v>30272.507310477173</c:v>
                </c:pt>
                <c:pt idx="7">
                  <c:v>30607.776975706249</c:v>
                </c:pt>
                <c:pt idx="8">
                  <c:v>30952.918010190882</c:v>
                </c:pt>
                <c:pt idx="9">
                  <c:v>31308.286140113734</c:v>
                </c:pt>
              </c:numCache>
            </c:numRef>
          </c:val>
          <c:smooth val="0"/>
        </c:ser>
        <c:ser>
          <c:idx val="2"/>
          <c:order val="2"/>
          <c:tx>
            <c:v>Volt Neuve</c:v>
          </c:tx>
          <c:marker>
            <c:symbol val="none"/>
          </c:marker>
          <c:dLbls>
            <c:dLbl>
              <c:idx val="9"/>
              <c:layout>
                <c:manualLayout>
                  <c:x val="3.160354776538106E-2"/>
                  <c:y val="-1.3770853219294765E-3"/>
                </c:manualLayout>
              </c:layout>
              <c:spPr/>
              <c:txPr>
                <a:bodyPr/>
                <a:lstStyle/>
                <a:p>
                  <a:pPr>
                    <a:defRPr sz="1800" baseline="0"/>
                  </a:pPr>
                  <a:endParaRPr lang="fr-FR"/>
                </a:p>
              </c:txPr>
              <c:showLegendKey val="0"/>
              <c:showVal val="1"/>
              <c:showCatName val="0"/>
              <c:showSerName val="1"/>
              <c:showPercent val="0"/>
              <c:showBubbleSize val="0"/>
            </c:dLbl>
            <c:showLegendKey val="0"/>
            <c:showVal val="0"/>
            <c:showCatName val="0"/>
            <c:showSerName val="0"/>
            <c:showPercent val="0"/>
            <c:showBubbleSize val="0"/>
          </c:dLbls>
          <c:val>
            <c:numRef>
              <c:f>'Comparatif-CASH only energy'!$C$77:$L$77</c:f>
              <c:numCache>
                <c:formatCode>_("$"* #,##0.00_);_("$"* \(#,##0.00\);_("$"* "-"??_);_(@_)</c:formatCode>
                <c:ptCount val="10"/>
                <c:pt idx="0">
                  <c:v>275</c:v>
                </c:pt>
                <c:pt idx="1">
                  <c:v>557.75</c:v>
                </c:pt>
                <c:pt idx="2">
                  <c:v>848.51750000000004</c:v>
                </c:pt>
                <c:pt idx="3">
                  <c:v>1147.5809750000001</c:v>
                </c:pt>
                <c:pt idx="4">
                  <c:v>1455.2303757500001</c:v>
                </c:pt>
                <c:pt idx="5">
                  <c:v>1771.7676535775001</c:v>
                </c:pt>
                <c:pt idx="6">
                  <c:v>2097.507310477175</c:v>
                </c:pt>
                <c:pt idx="7">
                  <c:v>2432.7769757062497</c:v>
                </c:pt>
                <c:pt idx="8">
                  <c:v>2777.9180101908823</c:v>
                </c:pt>
                <c:pt idx="9">
                  <c:v>3133.2861401137334</c:v>
                </c:pt>
              </c:numCache>
            </c:numRef>
          </c:val>
          <c:smooth val="0"/>
        </c:ser>
        <c:ser>
          <c:idx val="3"/>
          <c:order val="3"/>
          <c:tx>
            <c:v>Volt Usagée</c:v>
          </c:tx>
          <c:marker>
            <c:symbol val="none"/>
          </c:marker>
          <c:dLbls>
            <c:dLbl>
              <c:idx val="9"/>
              <c:layout>
                <c:manualLayout>
                  <c:x val="3.718064442986007E-2"/>
                  <c:y val="5.0492545176556894E-17"/>
                </c:manualLayout>
              </c:layout>
              <c:spPr/>
              <c:txPr>
                <a:bodyPr/>
                <a:lstStyle/>
                <a:p>
                  <a:pPr>
                    <a:defRPr sz="1800" baseline="0"/>
                  </a:pPr>
                  <a:endParaRPr lang="fr-FR"/>
                </a:p>
              </c:txPr>
              <c:showLegendKey val="0"/>
              <c:showVal val="1"/>
              <c:showCatName val="0"/>
              <c:showSerName val="1"/>
              <c:showPercent val="0"/>
              <c:showBubbleSize val="0"/>
            </c:dLbl>
            <c:showLegendKey val="0"/>
            <c:showVal val="0"/>
            <c:showCatName val="0"/>
            <c:showSerName val="0"/>
            <c:showPercent val="0"/>
            <c:showBubbleSize val="0"/>
          </c:dLbls>
          <c:val>
            <c:numRef>
              <c:f>'Comparatif-CASH only energy'!$C$78:$L$78</c:f>
              <c:numCache>
                <c:formatCode>_("$"* #,##0.00_);_("$"* \(#,##0.00\);_("$"* "-"??_);_(@_)</c:formatCode>
                <c:ptCount val="10"/>
                <c:pt idx="0">
                  <c:v>24424.999999999996</c:v>
                </c:pt>
                <c:pt idx="1">
                  <c:v>24707.749999999996</c:v>
                </c:pt>
                <c:pt idx="2">
                  <c:v>24998.517499999998</c:v>
                </c:pt>
                <c:pt idx="3">
                  <c:v>25297.580974999997</c:v>
                </c:pt>
                <c:pt idx="4">
                  <c:v>25605.230375749998</c:v>
                </c:pt>
                <c:pt idx="5">
                  <c:v>25921.767653577499</c:v>
                </c:pt>
                <c:pt idx="6">
                  <c:v>26247.507310477173</c:v>
                </c:pt>
                <c:pt idx="7">
                  <c:v>26582.776975706249</c:v>
                </c:pt>
                <c:pt idx="8">
                  <c:v>26927.918010190882</c:v>
                </c:pt>
                <c:pt idx="9">
                  <c:v>27283.286140113734</c:v>
                </c:pt>
              </c:numCache>
            </c:numRef>
          </c:val>
          <c:smooth val="0"/>
        </c:ser>
        <c:ser>
          <c:idx val="5"/>
          <c:order val="4"/>
          <c:tx>
            <c:v>BMW i3</c:v>
          </c:tx>
          <c:marker>
            <c:symbol val="none"/>
          </c:marker>
          <c:dLbls>
            <c:dLbl>
              <c:idx val="9"/>
              <c:layout>
                <c:manualLayout>
                  <c:x val="3.6251128319113569E-2"/>
                  <c:y val="2.7541706438589529E-3"/>
                </c:manualLayout>
              </c:layout>
              <c:showLegendKey val="0"/>
              <c:showVal val="1"/>
              <c:showCatName val="0"/>
              <c:showSerName val="1"/>
              <c:showPercent val="0"/>
              <c:showBubbleSize val="0"/>
            </c:dLbl>
            <c:txPr>
              <a:bodyPr/>
              <a:lstStyle/>
              <a:p>
                <a:pPr>
                  <a:defRPr sz="1800" baseline="0"/>
                </a:pPr>
                <a:endParaRPr lang="fr-FR"/>
              </a:p>
            </c:txPr>
            <c:showLegendKey val="0"/>
            <c:showVal val="0"/>
            <c:showCatName val="0"/>
            <c:showSerName val="0"/>
            <c:showPercent val="0"/>
            <c:showBubbleSize val="0"/>
          </c:dLbls>
          <c:val>
            <c:numRef>
              <c:f>'Comparatif-CASH only energy'!$C$79:$L$79</c:f>
              <c:numCache>
                <c:formatCode>_("$"* #,##0.00_);_("$"* \(#,##0.00\);_("$"* "-"??_);_(@_)</c:formatCode>
                <c:ptCount val="10"/>
                <c:pt idx="0">
                  <c:v>44435</c:v>
                </c:pt>
                <c:pt idx="1">
                  <c:v>44717.75</c:v>
                </c:pt>
                <c:pt idx="2">
                  <c:v>45008.517500000002</c:v>
                </c:pt>
                <c:pt idx="3">
                  <c:v>45307.580975000004</c:v>
                </c:pt>
                <c:pt idx="4">
                  <c:v>45615.230375750005</c:v>
                </c:pt>
                <c:pt idx="5">
                  <c:v>45931.767653577503</c:v>
                </c:pt>
                <c:pt idx="6">
                  <c:v>46257.50731047718</c:v>
                </c:pt>
                <c:pt idx="7">
                  <c:v>46592.776975706256</c:v>
                </c:pt>
                <c:pt idx="8">
                  <c:v>46937.918010190886</c:v>
                </c:pt>
                <c:pt idx="9">
                  <c:v>47293.286140113734</c:v>
                </c:pt>
              </c:numCache>
            </c:numRef>
          </c:val>
          <c:smooth val="0"/>
        </c:ser>
        <c:ser>
          <c:idx val="4"/>
          <c:order val="5"/>
          <c:tx>
            <c:v>Yaris</c:v>
          </c:tx>
          <c:spPr>
            <a:ln w="57150">
              <a:solidFill>
                <a:srgbClr val="FF0000"/>
              </a:solidFill>
            </a:ln>
          </c:spPr>
          <c:marker>
            <c:symbol val="none"/>
          </c:marker>
          <c:dLbls>
            <c:dLbl>
              <c:idx val="9"/>
              <c:layout>
                <c:manualLayout>
                  <c:x val="3.3462579986874061E-2"/>
                  <c:y val="1.3770853219294765E-3"/>
                </c:manualLayout>
              </c:layout>
              <c:spPr/>
              <c:txPr>
                <a:bodyPr/>
                <a:lstStyle/>
                <a:p>
                  <a:pPr>
                    <a:defRPr sz="1800" baseline="0"/>
                  </a:pPr>
                  <a:endParaRPr lang="fr-FR"/>
                </a:p>
              </c:txPr>
              <c:showLegendKey val="0"/>
              <c:showVal val="1"/>
              <c:showCatName val="0"/>
              <c:showSerName val="1"/>
              <c:showPercent val="0"/>
              <c:showBubbleSize val="0"/>
            </c:dLbl>
            <c:showLegendKey val="0"/>
            <c:showVal val="0"/>
            <c:showCatName val="0"/>
            <c:showSerName val="0"/>
            <c:showPercent val="0"/>
            <c:showBubbleSize val="0"/>
          </c:dLbls>
          <c:val>
            <c:numRef>
              <c:f>'Comparatif-CASH only energy'!$C$82:$L$82</c:f>
              <c:numCache>
                <c:formatCode>_("$"* #,##0.00_);_("$"* \(#,##0.00\);_("$"* "-"??_);_(@_)</c:formatCode>
                <c:ptCount val="10"/>
                <c:pt idx="0">
                  <c:v>27624.999999999996</c:v>
                </c:pt>
                <c:pt idx="1">
                  <c:v>30699.999999999996</c:v>
                </c:pt>
                <c:pt idx="2">
                  <c:v>33963.25</c:v>
                </c:pt>
                <c:pt idx="3">
                  <c:v>37429.337500000001</c:v>
                </c:pt>
                <c:pt idx="4">
                  <c:v>41114.355625000004</c:v>
                </c:pt>
                <c:pt idx="5">
                  <c:v>45036.094843750005</c:v>
                </c:pt>
                <c:pt idx="6">
                  <c:v>49214.261739062509</c:v>
                </c:pt>
                <c:pt idx="7">
                  <c:v>53670.728802109385</c:v>
                </c:pt>
                <c:pt idx="8">
                  <c:v>58429.819814722665</c:v>
                </c:pt>
                <c:pt idx="9">
                  <c:v>63518.636063842787</c:v>
                </c:pt>
              </c:numCache>
            </c:numRef>
          </c:val>
          <c:smooth val="0"/>
        </c:ser>
        <c:dLbls>
          <c:showLegendKey val="0"/>
          <c:showVal val="0"/>
          <c:showCatName val="0"/>
          <c:showSerName val="0"/>
          <c:showPercent val="0"/>
          <c:showBubbleSize val="0"/>
        </c:dLbls>
        <c:marker val="1"/>
        <c:smooth val="0"/>
        <c:axId val="127505920"/>
        <c:axId val="127507456"/>
      </c:lineChart>
      <c:catAx>
        <c:axId val="127505920"/>
        <c:scaling>
          <c:orientation val="minMax"/>
        </c:scaling>
        <c:delete val="0"/>
        <c:axPos val="b"/>
        <c:majorTickMark val="out"/>
        <c:minorTickMark val="none"/>
        <c:tickLblPos val="nextTo"/>
        <c:crossAx val="127507456"/>
        <c:crosses val="autoZero"/>
        <c:auto val="1"/>
        <c:lblAlgn val="ctr"/>
        <c:lblOffset val="100"/>
        <c:noMultiLvlLbl val="0"/>
      </c:catAx>
      <c:valAx>
        <c:axId val="127507456"/>
        <c:scaling>
          <c:orientation val="minMax"/>
        </c:scaling>
        <c:delete val="0"/>
        <c:axPos val="l"/>
        <c:majorGridlines/>
        <c:numFmt formatCode="_(&quot;$&quot;* #,##0.00_);_(&quot;$&quot;* \(#,##0.00\);_(&quot;$&quot;* &quot;-&quot;??_);_(@_)" sourceLinked="1"/>
        <c:majorTickMark val="out"/>
        <c:minorTickMark val="none"/>
        <c:tickLblPos val="nextTo"/>
        <c:crossAx val="127505920"/>
        <c:crosses val="autoZero"/>
        <c:crossBetween val="between"/>
      </c:valAx>
    </c:plotArea>
    <c:legend>
      <c:legendPos val="r"/>
      <c:layout>
        <c:manualLayout>
          <c:xMode val="edge"/>
          <c:yMode val="edge"/>
          <c:x val="0.89361409989575513"/>
          <c:y val="0.76920266868292198"/>
          <c:w val="0.10638590010424487"/>
          <c:h val="0.18936831578236282"/>
        </c:manualLayout>
      </c:layout>
      <c:overlay val="0"/>
      <c:txPr>
        <a:bodyPr/>
        <a:lstStyle/>
        <a:p>
          <a:pPr>
            <a:defRPr sz="1400" baseline="0"/>
          </a:pPr>
          <a:endParaRPr lang="fr-FR"/>
        </a:p>
      </c:txPr>
    </c:legend>
    <c:plotVisOnly val="1"/>
    <c:dispBlanksAs val="gap"/>
    <c:showDLblsOverMax val="0"/>
  </c:chart>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'Comparatif-CASH only energy'!$B$80</c:f>
              <c:strCache>
                <c:ptCount val="1"/>
                <c:pt idx="0">
                  <c:v>Cumulatif Electricité</c:v>
                </c:pt>
              </c:strCache>
            </c:strRef>
          </c:tx>
          <c:marker>
            <c:symbol val="none"/>
          </c:marker>
          <c:val>
            <c:numRef>
              <c:f>'Comparatif-CASH only energy'!$C$80:$L$80</c:f>
              <c:numCache>
                <c:formatCode>_("$"* #,##0.00_);_("$"* \(#,##0.00\);_("$"* "-"??_);_(@_)</c:formatCode>
                <c:ptCount val="10"/>
                <c:pt idx="0">
                  <c:v>200</c:v>
                </c:pt>
                <c:pt idx="1">
                  <c:v>404</c:v>
                </c:pt>
                <c:pt idx="2">
                  <c:v>612.08000000000004</c:v>
                </c:pt>
                <c:pt idx="3">
                  <c:v>824.32159999999999</c:v>
                </c:pt>
                <c:pt idx="4">
                  <c:v>1040.8080319999999</c:v>
                </c:pt>
                <c:pt idx="5">
                  <c:v>1261.6241926399998</c:v>
                </c:pt>
                <c:pt idx="6">
                  <c:v>1486.8566764927998</c:v>
                </c:pt>
                <c:pt idx="7">
                  <c:v>1716.5938100226558</c:v>
                </c:pt>
                <c:pt idx="8">
                  <c:v>1950.9256862231089</c:v>
                </c:pt>
                <c:pt idx="9">
                  <c:v>2189.9441999475712</c:v>
                </c:pt>
              </c:numCache>
            </c:numRef>
          </c:val>
          <c:smooth val="0"/>
        </c:ser>
        <c:ser>
          <c:idx val="1"/>
          <c:order val="1"/>
          <c:tx>
            <c:strRef>
              <c:f>'Comparatif-CASH only energy'!$B$81</c:f>
              <c:strCache>
                <c:ptCount val="1"/>
                <c:pt idx="0">
                  <c:v>Cumulatif Essence</c:v>
                </c:pt>
              </c:strCache>
            </c:strRef>
          </c:tx>
          <c:marker>
            <c:symbol val="none"/>
          </c:marker>
          <c:val>
            <c:numRef>
              <c:f>'Comparatif-CASH only energy'!$C$81:$L$81</c:f>
              <c:numCache>
                <c:formatCode>_("$"* #,##0.00_);_("$"* \(#,##0.00\);_("$"* "-"??_);_(@_)</c:formatCode>
                <c:ptCount val="10"/>
                <c:pt idx="0">
                  <c:v>2600</c:v>
                </c:pt>
                <c:pt idx="1">
                  <c:v>5330</c:v>
                </c:pt>
                <c:pt idx="2">
                  <c:v>8196.5</c:v>
                </c:pt>
                <c:pt idx="3">
                  <c:v>11206.325000000001</c:v>
                </c:pt>
                <c:pt idx="4">
                  <c:v>14366.641250000001</c:v>
                </c:pt>
                <c:pt idx="5">
                  <c:v>17684.973312500002</c:v>
                </c:pt>
                <c:pt idx="6">
                  <c:v>21169.221978125002</c:v>
                </c:pt>
                <c:pt idx="7">
                  <c:v>24827.683077031252</c:v>
                </c:pt>
                <c:pt idx="8">
                  <c:v>28669.067230882814</c:v>
                </c:pt>
                <c:pt idx="9">
                  <c:v>32702.520592426958</c:v>
                </c:pt>
              </c:numCache>
            </c:numRef>
          </c:val>
          <c:smooth val="0"/>
        </c:ser>
        <c:dLbls>
          <c:showLegendKey val="0"/>
          <c:showVal val="0"/>
          <c:showCatName val="0"/>
          <c:showSerName val="0"/>
          <c:showPercent val="0"/>
          <c:showBubbleSize val="0"/>
        </c:dLbls>
        <c:marker val="1"/>
        <c:smooth val="0"/>
        <c:axId val="127286656"/>
        <c:axId val="127288448"/>
      </c:lineChart>
      <c:catAx>
        <c:axId val="127286656"/>
        <c:scaling>
          <c:orientation val="minMax"/>
        </c:scaling>
        <c:delete val="0"/>
        <c:axPos val="b"/>
        <c:majorTickMark val="out"/>
        <c:minorTickMark val="none"/>
        <c:tickLblPos val="nextTo"/>
        <c:crossAx val="127288448"/>
        <c:crosses val="autoZero"/>
        <c:auto val="1"/>
        <c:lblAlgn val="ctr"/>
        <c:lblOffset val="100"/>
        <c:noMultiLvlLbl val="0"/>
      </c:catAx>
      <c:valAx>
        <c:axId val="127288448"/>
        <c:scaling>
          <c:orientation val="minMax"/>
        </c:scaling>
        <c:delete val="0"/>
        <c:axPos val="l"/>
        <c:majorGridlines/>
        <c:numFmt formatCode="_(&quot;$&quot;* #,##0.00_);_(&quot;$&quot;* \(#,##0.00\);_(&quot;$&quot;* &quot;-&quot;??_);_(@_)" sourceLinked="1"/>
        <c:majorTickMark val="out"/>
        <c:minorTickMark val="none"/>
        <c:tickLblPos val="nextTo"/>
        <c:crossAx val="1272866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Leaf</c:v>
          </c:tx>
          <c:invertIfNegative val="0"/>
          <c:dLbls>
            <c:dLbl>
              <c:idx val="0"/>
              <c:layout>
                <c:manualLayout>
                  <c:x val="-4.5833338145232355E-3"/>
                  <c:y val="-2.2336766737456132E-2"/>
                </c:manualLayout>
              </c:layout>
              <c:tx>
                <c:rich>
                  <a:bodyPr rot="-5400000" vert="horz"/>
                  <a:lstStyle/>
                  <a:p>
                    <a:pPr>
                      <a:defRPr/>
                    </a:pPr>
                    <a:r>
                      <a:rPr lang="en-US" sz="1600"/>
                      <a:t>Leaf</a:t>
                    </a:r>
                  </a:p>
                </c:rich>
              </c:tx>
              <c:spPr/>
              <c:showLegendKey val="0"/>
              <c:showVal val="0"/>
              <c:showCatName val="0"/>
              <c:showSerName val="1"/>
              <c:showPercent val="0"/>
              <c:showBubbleSize val="0"/>
            </c:dLbl>
            <c:showLegendKey val="0"/>
            <c:showVal val="0"/>
            <c:showCatName val="0"/>
            <c:showSerName val="0"/>
            <c:showPercent val="0"/>
            <c:showBubbleSize val="0"/>
          </c:dLbls>
          <c:cat>
            <c:strRef>
              <c:f>'Comparatif-SideBySide'!$C$59:$L$59</c:f>
              <c:strCache>
                <c:ptCount val="10"/>
                <c:pt idx="0">
                  <c:v>Année 1</c:v>
                </c:pt>
                <c:pt idx="1">
                  <c:v>Année 2</c:v>
                </c:pt>
                <c:pt idx="2">
                  <c:v>Année 3</c:v>
                </c:pt>
                <c:pt idx="3">
                  <c:v>Année 4</c:v>
                </c:pt>
                <c:pt idx="4">
                  <c:v>Année 5</c:v>
                </c:pt>
                <c:pt idx="5">
                  <c:v>Année 6</c:v>
                </c:pt>
                <c:pt idx="6">
                  <c:v>Année 7</c:v>
                </c:pt>
                <c:pt idx="7">
                  <c:v>Année 8</c:v>
                </c:pt>
                <c:pt idx="8">
                  <c:v>Année 9</c:v>
                </c:pt>
                <c:pt idx="9">
                  <c:v>Année 10</c:v>
                </c:pt>
              </c:strCache>
            </c:strRef>
          </c:cat>
          <c:val>
            <c:numRef>
              <c:f>'Comparatif-SideBySide'!$C$96:$L$96</c:f>
              <c:numCache>
                <c:formatCode>_("$"* #,##0.00_);_("$"* \(#,##0.00\);_("$"* "-"??_);_(@_)</c:formatCode>
                <c:ptCount val="10"/>
                <c:pt idx="0">
                  <c:v>400.32333333333332</c:v>
                </c:pt>
                <c:pt idx="1">
                  <c:v>401.24</c:v>
                </c:pt>
                <c:pt idx="2">
                  <c:v>402.1875</c:v>
                </c:pt>
                <c:pt idx="3">
                  <c:v>403.16707500000001</c:v>
                </c:pt>
                <c:pt idx="4">
                  <c:v>404.18002275000003</c:v>
                </c:pt>
                <c:pt idx="5">
                  <c:v>405.22769976750004</c:v>
                </c:pt>
                <c:pt idx="6">
                  <c:v>406.31152415347509</c:v>
                </c:pt>
                <c:pt idx="7">
                  <c:v>40.442978546700765</c:v>
                </c:pt>
                <c:pt idx="8">
                  <c:v>41.603613223298844</c:v>
                </c:pt>
                <c:pt idx="9">
                  <c:v>42.805049348712089</c:v>
                </c:pt>
              </c:numCache>
            </c:numRef>
          </c:val>
        </c:ser>
        <c:ser>
          <c:idx val="1"/>
          <c:order val="1"/>
          <c:tx>
            <c:v>Sparks</c:v>
          </c:tx>
          <c:invertIfNegative val="0"/>
          <c:dLbls>
            <c:dLbl>
              <c:idx val="0"/>
              <c:layout/>
              <c:spPr/>
              <c:txPr>
                <a:bodyPr rot="-5400000" vert="horz"/>
                <a:lstStyle/>
                <a:p>
                  <a:pPr>
                    <a:defRPr/>
                  </a:pPr>
                  <a:endParaRPr lang="fr-FR"/>
                </a:p>
              </c:txPr>
              <c:showLegendKey val="0"/>
              <c:showVal val="0"/>
              <c:showCatName val="0"/>
              <c:showSerName val="1"/>
              <c:showPercent val="0"/>
              <c:showBubbleSize val="0"/>
            </c:dLbl>
            <c:showLegendKey val="0"/>
            <c:showVal val="0"/>
            <c:showCatName val="0"/>
            <c:showSerName val="0"/>
            <c:showPercent val="0"/>
            <c:showBubbleSize val="0"/>
          </c:dLbls>
          <c:cat>
            <c:strRef>
              <c:f>'Comparatif-SideBySide'!$C$59:$L$59</c:f>
              <c:strCache>
                <c:ptCount val="10"/>
                <c:pt idx="0">
                  <c:v>Année 1</c:v>
                </c:pt>
                <c:pt idx="1">
                  <c:v>Année 2</c:v>
                </c:pt>
                <c:pt idx="2">
                  <c:v>Année 3</c:v>
                </c:pt>
                <c:pt idx="3">
                  <c:v>Année 4</c:v>
                </c:pt>
                <c:pt idx="4">
                  <c:v>Année 5</c:v>
                </c:pt>
                <c:pt idx="5">
                  <c:v>Année 6</c:v>
                </c:pt>
                <c:pt idx="6">
                  <c:v>Année 7</c:v>
                </c:pt>
                <c:pt idx="7">
                  <c:v>Année 8</c:v>
                </c:pt>
                <c:pt idx="8">
                  <c:v>Année 9</c:v>
                </c:pt>
                <c:pt idx="9">
                  <c:v>Année 10</c:v>
                </c:pt>
              </c:strCache>
            </c:strRef>
          </c:cat>
          <c:val>
            <c:numRef>
              <c:f>'Comparatif-SideBySide'!$C$97:$L$97</c:f>
              <c:numCache>
                <c:formatCode>_("$"* #,##0.00_);_("$"* \(#,##0.00\);_("$"* "-"??_);_(@_)</c:formatCode>
                <c:ptCount val="10"/>
                <c:pt idx="0">
                  <c:v>431.43666666666667</c:v>
                </c:pt>
                <c:pt idx="1">
                  <c:v>432.3533333333333</c:v>
                </c:pt>
                <c:pt idx="2">
                  <c:v>433.30083333333329</c:v>
                </c:pt>
                <c:pt idx="3">
                  <c:v>434.2804083333333</c:v>
                </c:pt>
                <c:pt idx="4">
                  <c:v>435.29335608333332</c:v>
                </c:pt>
                <c:pt idx="5">
                  <c:v>436.34103310083333</c:v>
                </c:pt>
                <c:pt idx="6">
                  <c:v>437.42485748680838</c:v>
                </c:pt>
                <c:pt idx="7">
                  <c:v>40.442978546700765</c:v>
                </c:pt>
                <c:pt idx="8">
                  <c:v>41.603613223298844</c:v>
                </c:pt>
                <c:pt idx="9">
                  <c:v>42.805049348712089</c:v>
                </c:pt>
              </c:numCache>
            </c:numRef>
          </c:val>
        </c:ser>
        <c:ser>
          <c:idx val="2"/>
          <c:order val="2"/>
          <c:tx>
            <c:v>Volt Neuve</c:v>
          </c:tx>
          <c:invertIfNegative val="0"/>
          <c:dLbls>
            <c:dLbl>
              <c:idx val="0"/>
              <c:layout>
                <c:manualLayout>
                  <c:x val="-1.833333525809294E-3"/>
                  <c:y val="-1.7182128259581611E-2"/>
                </c:manualLayout>
              </c:layout>
              <c:tx>
                <c:rich>
                  <a:bodyPr rot="-5400000" vert="horz"/>
                  <a:lstStyle/>
                  <a:p>
                    <a:pPr>
                      <a:defRPr/>
                    </a:pPr>
                    <a:r>
                      <a:rPr lang="en-US" sz="1600"/>
                      <a:t>Volt Neuve</a:t>
                    </a:r>
                  </a:p>
                </c:rich>
              </c:tx>
              <c:spPr/>
              <c:showLegendKey val="0"/>
              <c:showVal val="0"/>
              <c:showCatName val="0"/>
              <c:showSerName val="1"/>
              <c:showPercent val="0"/>
              <c:showBubbleSize val="0"/>
            </c:dLbl>
            <c:showLegendKey val="0"/>
            <c:showVal val="0"/>
            <c:showCatName val="0"/>
            <c:showSerName val="0"/>
            <c:showPercent val="0"/>
            <c:showBubbleSize val="0"/>
          </c:dLbls>
          <c:cat>
            <c:strRef>
              <c:f>'Comparatif-SideBySide'!$C$59:$L$59</c:f>
              <c:strCache>
                <c:ptCount val="10"/>
                <c:pt idx="0">
                  <c:v>Année 1</c:v>
                </c:pt>
                <c:pt idx="1">
                  <c:v>Année 2</c:v>
                </c:pt>
                <c:pt idx="2">
                  <c:v>Année 3</c:v>
                </c:pt>
                <c:pt idx="3">
                  <c:v>Année 4</c:v>
                </c:pt>
                <c:pt idx="4">
                  <c:v>Année 5</c:v>
                </c:pt>
                <c:pt idx="5">
                  <c:v>Année 6</c:v>
                </c:pt>
                <c:pt idx="6">
                  <c:v>Année 7</c:v>
                </c:pt>
                <c:pt idx="7">
                  <c:v>Année 8</c:v>
                </c:pt>
                <c:pt idx="8">
                  <c:v>Année 9</c:v>
                </c:pt>
                <c:pt idx="9">
                  <c:v>Année 10</c:v>
                </c:pt>
              </c:strCache>
            </c:strRef>
          </c:cat>
          <c:val>
            <c:numRef>
              <c:f>'Comparatif-SideBySide'!$C$98:$L$98</c:f>
              <c:numCache>
                <c:formatCode>_("$"* #,##0.00_);_("$"* \(#,##0.00\);_("$"* "-"??_);_(@_)</c:formatCode>
                <c:ptCount val="10"/>
                <c:pt idx="0">
                  <c:v>532.72333333333336</c:v>
                </c:pt>
                <c:pt idx="1">
                  <c:v>533.64</c:v>
                </c:pt>
                <c:pt idx="2">
                  <c:v>534.58749999999998</c:v>
                </c:pt>
                <c:pt idx="3">
                  <c:v>535.56707500000005</c:v>
                </c:pt>
                <c:pt idx="4">
                  <c:v>536.58002275000001</c:v>
                </c:pt>
                <c:pt idx="5">
                  <c:v>537.62769976750008</c:v>
                </c:pt>
                <c:pt idx="6">
                  <c:v>538.71152415347512</c:v>
                </c:pt>
                <c:pt idx="7">
                  <c:v>40.442978546700765</c:v>
                </c:pt>
                <c:pt idx="8">
                  <c:v>41.603613223298844</c:v>
                </c:pt>
                <c:pt idx="9">
                  <c:v>42.805049348712089</c:v>
                </c:pt>
              </c:numCache>
            </c:numRef>
          </c:val>
        </c:ser>
        <c:ser>
          <c:idx val="3"/>
          <c:order val="3"/>
          <c:tx>
            <c:v>Volt Usagées</c:v>
          </c:tx>
          <c:invertIfNegative val="0"/>
          <c:dLbls>
            <c:dLbl>
              <c:idx val="0"/>
              <c:layout>
                <c:manualLayout>
                  <c:x val="0"/>
                  <c:y val="-7.560136434215925E-2"/>
                </c:manualLayout>
              </c:layout>
              <c:spPr/>
              <c:txPr>
                <a:bodyPr rot="-5400000" vert="horz"/>
                <a:lstStyle/>
                <a:p>
                  <a:pPr>
                    <a:defRPr/>
                  </a:pPr>
                  <a:endParaRPr lang="fr-FR"/>
                </a:p>
              </c:txPr>
              <c:showLegendKey val="0"/>
              <c:showVal val="0"/>
              <c:showCatName val="0"/>
              <c:showSerName val="1"/>
              <c:showPercent val="0"/>
              <c:showBubbleSize val="0"/>
            </c:dLbl>
            <c:showLegendKey val="0"/>
            <c:showVal val="0"/>
            <c:showCatName val="0"/>
            <c:showSerName val="0"/>
            <c:showPercent val="0"/>
            <c:showBubbleSize val="0"/>
          </c:dLbls>
          <c:cat>
            <c:strRef>
              <c:f>'Comparatif-SideBySide'!$C$59:$L$59</c:f>
              <c:strCache>
                <c:ptCount val="10"/>
                <c:pt idx="0">
                  <c:v>Année 1</c:v>
                </c:pt>
                <c:pt idx="1">
                  <c:v>Année 2</c:v>
                </c:pt>
                <c:pt idx="2">
                  <c:v>Année 3</c:v>
                </c:pt>
                <c:pt idx="3">
                  <c:v>Année 4</c:v>
                </c:pt>
                <c:pt idx="4">
                  <c:v>Année 5</c:v>
                </c:pt>
                <c:pt idx="5">
                  <c:v>Année 6</c:v>
                </c:pt>
                <c:pt idx="6">
                  <c:v>Année 7</c:v>
                </c:pt>
                <c:pt idx="7">
                  <c:v>Année 8</c:v>
                </c:pt>
                <c:pt idx="8">
                  <c:v>Année 9</c:v>
                </c:pt>
                <c:pt idx="9">
                  <c:v>Année 10</c:v>
                </c:pt>
              </c:strCache>
            </c:strRef>
          </c:cat>
          <c:val>
            <c:numRef>
              <c:f>'Comparatif-SideBySide'!$C$99:$L$99</c:f>
              <c:numCache>
                <c:formatCode>_("$"* #,##0.00_);_("$"* \(#,##0.00\);_("$"* "-"??_);_(@_)</c:formatCode>
                <c:ptCount val="10"/>
                <c:pt idx="0">
                  <c:v>426.37333333333339</c:v>
                </c:pt>
                <c:pt idx="1">
                  <c:v>427.29</c:v>
                </c:pt>
                <c:pt idx="2">
                  <c:v>428.23750000000001</c:v>
                </c:pt>
                <c:pt idx="3">
                  <c:v>429.21707500000002</c:v>
                </c:pt>
                <c:pt idx="4">
                  <c:v>430.23002275000005</c:v>
                </c:pt>
                <c:pt idx="5">
                  <c:v>431.27769976750005</c:v>
                </c:pt>
                <c:pt idx="6">
                  <c:v>432.3615241534751</c:v>
                </c:pt>
                <c:pt idx="7">
                  <c:v>40.442978546700765</c:v>
                </c:pt>
                <c:pt idx="8">
                  <c:v>41.603613223298844</c:v>
                </c:pt>
                <c:pt idx="9">
                  <c:v>42.805049348712089</c:v>
                </c:pt>
              </c:numCache>
            </c:numRef>
          </c:val>
        </c:ser>
        <c:ser>
          <c:idx val="4"/>
          <c:order val="4"/>
          <c:tx>
            <c:v>Kia Soul</c:v>
          </c:tx>
          <c:invertIfNegative val="0"/>
          <c:dLbls>
            <c:dLbl>
              <c:idx val="0"/>
              <c:layout>
                <c:manualLayout>
                  <c:x val="-1.833333525809294E-3"/>
                  <c:y val="-6.7010300212368396E-2"/>
                </c:manualLayout>
              </c:layout>
              <c:spPr/>
              <c:txPr>
                <a:bodyPr rot="-5400000" vert="horz"/>
                <a:lstStyle/>
                <a:p>
                  <a:pPr>
                    <a:defRPr/>
                  </a:pPr>
                  <a:endParaRPr lang="fr-FR"/>
                </a:p>
              </c:txPr>
              <c:showLegendKey val="0"/>
              <c:showVal val="0"/>
              <c:showCatName val="0"/>
              <c:showSerName val="1"/>
              <c:showPercent val="0"/>
              <c:showBubbleSize val="0"/>
            </c:dLbl>
            <c:showLegendKey val="0"/>
            <c:showVal val="0"/>
            <c:showCatName val="0"/>
            <c:showSerName val="0"/>
            <c:showPercent val="0"/>
            <c:showBubbleSize val="0"/>
          </c:dLbls>
          <c:cat>
            <c:strRef>
              <c:f>'Comparatif-SideBySide'!$C$59:$L$59</c:f>
              <c:strCache>
                <c:ptCount val="10"/>
                <c:pt idx="0">
                  <c:v>Année 1</c:v>
                </c:pt>
                <c:pt idx="1">
                  <c:v>Année 2</c:v>
                </c:pt>
                <c:pt idx="2">
                  <c:v>Année 3</c:v>
                </c:pt>
                <c:pt idx="3">
                  <c:v>Année 4</c:v>
                </c:pt>
                <c:pt idx="4">
                  <c:v>Année 5</c:v>
                </c:pt>
                <c:pt idx="5">
                  <c:v>Année 6</c:v>
                </c:pt>
                <c:pt idx="6">
                  <c:v>Année 7</c:v>
                </c:pt>
                <c:pt idx="7">
                  <c:v>Année 8</c:v>
                </c:pt>
                <c:pt idx="8">
                  <c:v>Année 9</c:v>
                </c:pt>
                <c:pt idx="9">
                  <c:v>Année 10</c:v>
                </c:pt>
              </c:strCache>
            </c:strRef>
          </c:cat>
          <c:val>
            <c:numRef>
              <c:f>'Comparatif-SideBySide'!$C$100:$L$100</c:f>
              <c:numCache>
                <c:formatCode>_("$"* #,##0.00_);_("$"* \(#,##0.00\);_("$"* "-"??_);_(@_)</c:formatCode>
                <c:ptCount val="10"/>
                <c:pt idx="0">
                  <c:v>497.34666666666664</c:v>
                </c:pt>
                <c:pt idx="1">
                  <c:v>498.26333333333332</c:v>
                </c:pt>
                <c:pt idx="2">
                  <c:v>499.21083333333331</c:v>
                </c:pt>
                <c:pt idx="3">
                  <c:v>500.19040833333332</c:v>
                </c:pt>
                <c:pt idx="4">
                  <c:v>501.20335608333335</c:v>
                </c:pt>
                <c:pt idx="5">
                  <c:v>502.25103310083335</c:v>
                </c:pt>
                <c:pt idx="6">
                  <c:v>503.3348574868084</c:v>
                </c:pt>
                <c:pt idx="7">
                  <c:v>40.442978546700765</c:v>
                </c:pt>
                <c:pt idx="8">
                  <c:v>41.603613223298844</c:v>
                </c:pt>
                <c:pt idx="9">
                  <c:v>42.805049348712089</c:v>
                </c:pt>
              </c:numCache>
            </c:numRef>
          </c:val>
        </c:ser>
        <c:ser>
          <c:idx val="5"/>
          <c:order val="5"/>
          <c:tx>
            <c:v>BMW i3</c:v>
          </c:tx>
          <c:invertIfNegative val="0"/>
          <c:dLbls>
            <c:dLbl>
              <c:idx val="0"/>
              <c:layout/>
              <c:spPr/>
              <c:txPr>
                <a:bodyPr rot="-5400000" vert="horz"/>
                <a:lstStyle/>
                <a:p>
                  <a:pPr>
                    <a:defRPr/>
                  </a:pPr>
                  <a:endParaRPr lang="fr-FR"/>
                </a:p>
              </c:txPr>
              <c:showLegendKey val="0"/>
              <c:showVal val="0"/>
              <c:showCatName val="0"/>
              <c:showSerName val="1"/>
              <c:showPercent val="0"/>
              <c:showBubbleSize val="0"/>
            </c:dLbl>
            <c:showLegendKey val="0"/>
            <c:showVal val="0"/>
            <c:showCatName val="0"/>
            <c:showSerName val="0"/>
            <c:showPercent val="0"/>
            <c:showBubbleSize val="0"/>
          </c:dLbls>
          <c:cat>
            <c:strRef>
              <c:f>'Comparatif-SideBySide'!$C$59:$L$59</c:f>
              <c:strCache>
                <c:ptCount val="10"/>
                <c:pt idx="0">
                  <c:v>Année 1</c:v>
                </c:pt>
                <c:pt idx="1">
                  <c:v>Année 2</c:v>
                </c:pt>
                <c:pt idx="2">
                  <c:v>Année 3</c:v>
                </c:pt>
                <c:pt idx="3">
                  <c:v>Année 4</c:v>
                </c:pt>
                <c:pt idx="4">
                  <c:v>Année 5</c:v>
                </c:pt>
                <c:pt idx="5">
                  <c:v>Année 6</c:v>
                </c:pt>
                <c:pt idx="6">
                  <c:v>Année 7</c:v>
                </c:pt>
                <c:pt idx="7">
                  <c:v>Année 8</c:v>
                </c:pt>
                <c:pt idx="8">
                  <c:v>Année 9</c:v>
                </c:pt>
                <c:pt idx="9">
                  <c:v>Année 10</c:v>
                </c:pt>
              </c:strCache>
            </c:strRef>
          </c:cat>
          <c:val>
            <c:numRef>
              <c:f>'Comparatif-SideBySide'!$C$101:$L$101</c:f>
              <c:numCache>
                <c:formatCode>_("$"* #,##0.00_);_("$"* \(#,##0.00\);_("$"* "-"??_);_(@_)</c:formatCode>
                <c:ptCount val="10"/>
                <c:pt idx="0">
                  <c:v>650.92000000000007</c:v>
                </c:pt>
                <c:pt idx="1">
                  <c:v>651.8366666666667</c:v>
                </c:pt>
                <c:pt idx="2">
                  <c:v>652.78416666666669</c:v>
                </c:pt>
                <c:pt idx="3">
                  <c:v>653.76374166666676</c:v>
                </c:pt>
                <c:pt idx="4">
                  <c:v>654.77668941666673</c:v>
                </c:pt>
                <c:pt idx="5">
                  <c:v>655.82436643416679</c:v>
                </c:pt>
                <c:pt idx="6">
                  <c:v>656.90819082014184</c:v>
                </c:pt>
                <c:pt idx="7">
                  <c:v>40.442978546700765</c:v>
                </c:pt>
                <c:pt idx="8">
                  <c:v>41.603613223298844</c:v>
                </c:pt>
                <c:pt idx="9">
                  <c:v>42.805049348712089</c:v>
                </c:pt>
              </c:numCache>
            </c:numRef>
          </c:val>
        </c:ser>
        <c:ser>
          <c:idx val="7"/>
          <c:order val="6"/>
          <c:tx>
            <c:v>Yaris</c:v>
          </c:tx>
          <c:spPr>
            <a:solidFill>
              <a:srgbClr val="FF0000"/>
            </a:solidFill>
          </c:spPr>
          <c:invertIfNegative val="0"/>
          <c:dLbls>
            <c:dLbl>
              <c:idx val="0"/>
              <c:layout>
                <c:manualLayout>
                  <c:x val="1.833333525809294E-3"/>
                  <c:y val="-1.3745702607665312E-2"/>
                </c:manualLayout>
              </c:layout>
              <c:tx>
                <c:rich>
                  <a:bodyPr rot="-5400000" vert="horz"/>
                  <a:lstStyle/>
                  <a:p>
                    <a:pPr>
                      <a:defRPr sz="1200" baseline="0"/>
                    </a:pPr>
                    <a:r>
                      <a:rPr lang="en-US" sz="1600" b="1" baseline="0"/>
                      <a:t>Yaris</a:t>
                    </a:r>
                  </a:p>
                </c:rich>
              </c:tx>
              <c:spPr>
                <a:noFill/>
              </c:spPr>
              <c:showLegendKey val="0"/>
              <c:showVal val="0"/>
              <c:showCatName val="0"/>
              <c:showSerName val="1"/>
              <c:showPercent val="0"/>
              <c:showBubbleSize val="0"/>
            </c:dLbl>
            <c:spPr>
              <a:noFill/>
            </c:spPr>
            <c:showLegendKey val="0"/>
            <c:showVal val="0"/>
            <c:showCatName val="0"/>
            <c:showSerName val="0"/>
            <c:showPercent val="0"/>
            <c:showBubbleSize val="0"/>
          </c:dLbls>
          <c:cat>
            <c:strRef>
              <c:f>'Comparatif-SideBySide'!$C$59:$L$59</c:f>
              <c:strCache>
                <c:ptCount val="10"/>
                <c:pt idx="0">
                  <c:v>Année 1</c:v>
                </c:pt>
                <c:pt idx="1">
                  <c:v>Année 2</c:v>
                </c:pt>
                <c:pt idx="2">
                  <c:v>Année 3</c:v>
                </c:pt>
                <c:pt idx="3">
                  <c:v>Année 4</c:v>
                </c:pt>
                <c:pt idx="4">
                  <c:v>Année 5</c:v>
                </c:pt>
                <c:pt idx="5">
                  <c:v>Année 6</c:v>
                </c:pt>
                <c:pt idx="6">
                  <c:v>Année 7</c:v>
                </c:pt>
                <c:pt idx="7">
                  <c:v>Année 8</c:v>
                </c:pt>
                <c:pt idx="8">
                  <c:v>Année 9</c:v>
                </c:pt>
                <c:pt idx="9">
                  <c:v>Année 10</c:v>
                </c:pt>
              </c:strCache>
            </c:strRef>
          </c:cat>
          <c:val>
            <c:numRef>
              <c:f>'Comparatif-SideBySide'!$C$103:$L$103</c:f>
              <c:numCache>
                <c:formatCode>_("$"* #,##0.00_);_("$"* \(#,##0.00\);_("$"* "-"??_);_(@_)</c:formatCode>
                <c:ptCount val="10"/>
                <c:pt idx="0">
                  <c:v>602.70356321839074</c:v>
                </c:pt>
                <c:pt idx="1">
                  <c:v>616.03689655172411</c:v>
                </c:pt>
                <c:pt idx="2">
                  <c:v>630.16189655172411</c:v>
                </c:pt>
                <c:pt idx="3">
                  <c:v>645.13064655172423</c:v>
                </c:pt>
                <c:pt idx="4">
                  <c:v>660.99908405172414</c:v>
                </c:pt>
                <c:pt idx="5">
                  <c:v>677.82731842672422</c:v>
                </c:pt>
                <c:pt idx="6">
                  <c:v>695.67997702047421</c:v>
                </c:pt>
                <c:pt idx="7">
                  <c:v>353.58968574218761</c:v>
                </c:pt>
                <c:pt idx="8">
                  <c:v>373.70506640429699</c:v>
                </c:pt>
                <c:pt idx="9">
                  <c:v>395.06980573701185</c:v>
                </c:pt>
              </c:numCache>
            </c:numRef>
          </c:val>
        </c:ser>
        <c:dLbls>
          <c:showLegendKey val="0"/>
          <c:showVal val="0"/>
          <c:showCatName val="0"/>
          <c:showSerName val="0"/>
          <c:showPercent val="0"/>
          <c:showBubbleSize val="0"/>
        </c:dLbls>
        <c:gapWidth val="150"/>
        <c:axId val="76591104"/>
        <c:axId val="76592640"/>
      </c:barChart>
      <c:catAx>
        <c:axId val="76591104"/>
        <c:scaling>
          <c:orientation val="minMax"/>
        </c:scaling>
        <c:delete val="0"/>
        <c:axPos val="b"/>
        <c:majorTickMark val="out"/>
        <c:minorTickMark val="none"/>
        <c:tickLblPos val="nextTo"/>
        <c:crossAx val="76592640"/>
        <c:crosses val="autoZero"/>
        <c:auto val="1"/>
        <c:lblAlgn val="ctr"/>
        <c:lblOffset val="100"/>
        <c:noMultiLvlLbl val="0"/>
      </c:catAx>
      <c:valAx>
        <c:axId val="76592640"/>
        <c:scaling>
          <c:orientation val="minMax"/>
        </c:scaling>
        <c:delete val="0"/>
        <c:axPos val="l"/>
        <c:majorGridlines/>
        <c:numFmt formatCode="_(&quot;$&quot;* #,##0.00_);_(&quot;$&quot;* \(#,##0.00\);_(&quot;$&quot;* &quot;-&quot;??_);_(@_)" sourceLinked="1"/>
        <c:majorTickMark val="out"/>
        <c:minorTickMark val="none"/>
        <c:tickLblPos val="nextTo"/>
        <c:crossAx val="765911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716525881422004E-2"/>
          <c:y val="1.0180121769503822E-2"/>
          <c:w val="0.88949684480045133"/>
          <c:h val="0.96295792289892967"/>
        </c:manualLayout>
      </c:layout>
      <c:barChart>
        <c:barDir val="col"/>
        <c:grouping val="clustered"/>
        <c:varyColors val="0"/>
        <c:ser>
          <c:idx val="0"/>
          <c:order val="0"/>
          <c:tx>
            <c:v>Leaf</c:v>
          </c:tx>
          <c:invertIfNegative val="0"/>
          <c:dLbls>
            <c:dLbl>
              <c:idx val="0"/>
              <c:layout>
                <c:manualLayout>
                  <c:x val="9.1392483220124193E-4"/>
                  <c:y val="-2.0018200274475272E-2"/>
                </c:manualLayout>
              </c:layout>
              <c:tx>
                <c:rich>
                  <a:bodyPr rot="-5400000" vert="horz"/>
                  <a:lstStyle/>
                  <a:p>
                    <a:pPr>
                      <a:defRPr baseline="0"/>
                    </a:pPr>
                    <a:r>
                      <a:rPr lang="en-US" sz="1600"/>
                      <a:t>Leaf</a:t>
                    </a:r>
                  </a:p>
                </c:rich>
              </c:tx>
              <c:spPr/>
              <c:showLegendKey val="0"/>
              <c:showVal val="0"/>
              <c:showCatName val="0"/>
              <c:showSerName val="1"/>
              <c:showPercent val="0"/>
              <c:showBubbleSize val="0"/>
            </c:dLbl>
            <c:showLegendKey val="0"/>
            <c:showVal val="0"/>
            <c:showCatName val="0"/>
            <c:showSerName val="0"/>
            <c:showPercent val="0"/>
            <c:showBubbleSize val="0"/>
          </c:dLbls>
          <c:cat>
            <c:strRef>
              <c:f>'Comparatif-SideBySide'!$C$59:$L$59</c:f>
              <c:strCache>
                <c:ptCount val="10"/>
                <c:pt idx="0">
                  <c:v>Année 1</c:v>
                </c:pt>
                <c:pt idx="1">
                  <c:v>Année 2</c:v>
                </c:pt>
                <c:pt idx="2">
                  <c:v>Année 3</c:v>
                </c:pt>
                <c:pt idx="3">
                  <c:v>Année 4</c:v>
                </c:pt>
                <c:pt idx="4">
                  <c:v>Année 5</c:v>
                </c:pt>
                <c:pt idx="5">
                  <c:v>Année 6</c:v>
                </c:pt>
                <c:pt idx="6">
                  <c:v>Année 7</c:v>
                </c:pt>
                <c:pt idx="7">
                  <c:v>Année 8</c:v>
                </c:pt>
                <c:pt idx="8">
                  <c:v>Année 9</c:v>
                </c:pt>
                <c:pt idx="9">
                  <c:v>Année 10</c:v>
                </c:pt>
              </c:strCache>
            </c:strRef>
          </c:cat>
          <c:val>
            <c:numRef>
              <c:f>'Comparatif-SideBySide'!$C$106:$L$106</c:f>
              <c:numCache>
                <c:formatCode>_("$"* #,##0.00_);_("$"* \(#,##0.00\);_("$"* "-"??_);_(@_)</c:formatCode>
                <c:ptCount val="10"/>
                <c:pt idx="0">
                  <c:v>202.38022988505742</c:v>
                </c:pt>
                <c:pt idx="1">
                  <c:v>214.7968965517241</c:v>
                </c:pt>
                <c:pt idx="2">
                  <c:v>227.97439655172411</c:v>
                </c:pt>
                <c:pt idx="3">
                  <c:v>241.96357155172421</c:v>
                </c:pt>
                <c:pt idx="4">
                  <c:v>256.8190613017241</c:v>
                </c:pt>
                <c:pt idx="5">
                  <c:v>272.59961865922418</c:v>
                </c:pt>
                <c:pt idx="6">
                  <c:v>289.36845286699912</c:v>
                </c:pt>
                <c:pt idx="7">
                  <c:v>313.14670719548684</c:v>
                </c:pt>
                <c:pt idx="8">
                  <c:v>332.10145318099813</c:v>
                </c:pt>
                <c:pt idx="9">
                  <c:v>352.26475638829976</c:v>
                </c:pt>
              </c:numCache>
            </c:numRef>
          </c:val>
        </c:ser>
        <c:ser>
          <c:idx val="1"/>
          <c:order val="1"/>
          <c:tx>
            <c:v>Sparks</c:v>
          </c:tx>
          <c:invertIfNegative val="0"/>
          <c:dLbls>
            <c:dLbl>
              <c:idx val="0"/>
              <c:layout>
                <c:manualLayout>
                  <c:x val="9.1392483220124193E-4"/>
                  <c:y val="-7.6736434385488536E-2"/>
                </c:manualLayout>
              </c:layout>
              <c:tx>
                <c:rich>
                  <a:bodyPr/>
                  <a:lstStyle/>
                  <a:p>
                    <a:r>
                      <a:rPr lang="en-US" sz="1600"/>
                      <a:t>Sparks</a:t>
                    </a:r>
                  </a:p>
                </c:rich>
              </c:tx>
              <c:showLegendKey val="0"/>
              <c:showVal val="0"/>
              <c:showCatName val="0"/>
              <c:showSerName val="1"/>
              <c:showPercent val="0"/>
              <c:showBubbleSize val="0"/>
            </c:dLbl>
            <c:txPr>
              <a:bodyPr rot="-5400000" vert="horz"/>
              <a:lstStyle/>
              <a:p>
                <a:pPr>
                  <a:defRPr/>
                </a:pPr>
                <a:endParaRPr lang="fr-FR"/>
              </a:p>
            </c:txPr>
            <c:showLegendKey val="0"/>
            <c:showVal val="0"/>
            <c:showCatName val="0"/>
            <c:showSerName val="0"/>
            <c:showPercent val="0"/>
            <c:showBubbleSize val="0"/>
          </c:dLbls>
          <c:cat>
            <c:strRef>
              <c:f>'Comparatif-SideBySide'!$C$59:$L$59</c:f>
              <c:strCache>
                <c:ptCount val="10"/>
                <c:pt idx="0">
                  <c:v>Année 1</c:v>
                </c:pt>
                <c:pt idx="1">
                  <c:v>Année 2</c:v>
                </c:pt>
                <c:pt idx="2">
                  <c:v>Année 3</c:v>
                </c:pt>
                <c:pt idx="3">
                  <c:v>Année 4</c:v>
                </c:pt>
                <c:pt idx="4">
                  <c:v>Année 5</c:v>
                </c:pt>
                <c:pt idx="5">
                  <c:v>Année 6</c:v>
                </c:pt>
                <c:pt idx="6">
                  <c:v>Année 7</c:v>
                </c:pt>
                <c:pt idx="7">
                  <c:v>Année 8</c:v>
                </c:pt>
                <c:pt idx="8">
                  <c:v>Année 9</c:v>
                </c:pt>
                <c:pt idx="9">
                  <c:v>Année 10</c:v>
                </c:pt>
              </c:strCache>
            </c:strRef>
          </c:cat>
          <c:val>
            <c:numRef>
              <c:f>'Comparatif-SideBySide'!$C$107:$L$107</c:f>
              <c:numCache>
                <c:formatCode>_("$"* #,##0.00_);_("$"* \(#,##0.00\);_("$"* "-"??_);_(@_)</c:formatCode>
                <c:ptCount val="10"/>
                <c:pt idx="0">
                  <c:v>171.26689655172407</c:v>
                </c:pt>
                <c:pt idx="1">
                  <c:v>183.68356321839082</c:v>
                </c:pt>
                <c:pt idx="2">
                  <c:v>196.86106321839083</c:v>
                </c:pt>
                <c:pt idx="3">
                  <c:v>210.85023821839093</c:v>
                </c:pt>
                <c:pt idx="4">
                  <c:v>225.70572796839082</c:v>
                </c:pt>
                <c:pt idx="5">
                  <c:v>241.48628532589089</c:v>
                </c:pt>
                <c:pt idx="6">
                  <c:v>258.25511953366583</c:v>
                </c:pt>
                <c:pt idx="7">
                  <c:v>313.14670719548684</c:v>
                </c:pt>
                <c:pt idx="8">
                  <c:v>332.10145318099813</c:v>
                </c:pt>
                <c:pt idx="9">
                  <c:v>352.26475638829976</c:v>
                </c:pt>
              </c:numCache>
            </c:numRef>
          </c:val>
        </c:ser>
        <c:ser>
          <c:idx val="2"/>
          <c:order val="2"/>
          <c:tx>
            <c:v>Volt Neuve</c:v>
          </c:tx>
          <c:invertIfNegative val="0"/>
          <c:dLbls>
            <c:dLbl>
              <c:idx val="0"/>
              <c:layout>
                <c:manualLayout>
                  <c:x val="1.8278496644024839E-3"/>
                  <c:y val="-0.27024570370541617"/>
                </c:manualLayout>
              </c:layout>
              <c:tx>
                <c:rich>
                  <a:bodyPr rot="-5400000" vert="horz"/>
                  <a:lstStyle/>
                  <a:p>
                    <a:pPr>
                      <a:defRPr/>
                    </a:pPr>
                    <a:r>
                      <a:rPr lang="en-US" sz="1600"/>
                      <a:t>Volt Neuve</a:t>
                    </a:r>
                  </a:p>
                </c:rich>
              </c:tx>
              <c:spPr/>
              <c:showLegendKey val="0"/>
              <c:showVal val="0"/>
              <c:showCatName val="0"/>
              <c:showSerName val="1"/>
              <c:showPercent val="0"/>
              <c:showBubbleSize val="0"/>
            </c:dLbl>
            <c:showLegendKey val="0"/>
            <c:showVal val="0"/>
            <c:showCatName val="0"/>
            <c:showSerName val="0"/>
            <c:showPercent val="0"/>
            <c:showBubbleSize val="0"/>
          </c:dLbls>
          <c:cat>
            <c:strRef>
              <c:f>'Comparatif-SideBySide'!$C$59:$L$59</c:f>
              <c:strCache>
                <c:ptCount val="10"/>
                <c:pt idx="0">
                  <c:v>Année 1</c:v>
                </c:pt>
                <c:pt idx="1">
                  <c:v>Année 2</c:v>
                </c:pt>
                <c:pt idx="2">
                  <c:v>Année 3</c:v>
                </c:pt>
                <c:pt idx="3">
                  <c:v>Année 4</c:v>
                </c:pt>
                <c:pt idx="4">
                  <c:v>Année 5</c:v>
                </c:pt>
                <c:pt idx="5">
                  <c:v>Année 6</c:v>
                </c:pt>
                <c:pt idx="6">
                  <c:v>Année 7</c:v>
                </c:pt>
                <c:pt idx="7">
                  <c:v>Année 8</c:v>
                </c:pt>
                <c:pt idx="8">
                  <c:v>Année 9</c:v>
                </c:pt>
                <c:pt idx="9">
                  <c:v>Année 10</c:v>
                </c:pt>
              </c:strCache>
            </c:strRef>
          </c:cat>
          <c:val>
            <c:numRef>
              <c:f>'Comparatif-SideBySide'!$C$108:$L$108</c:f>
              <c:numCache>
                <c:formatCode>_("$"* #,##0.00_);_("$"* \(#,##0.00\);_("$"* "-"??_);_(@_)</c:formatCode>
                <c:ptCount val="10"/>
                <c:pt idx="0">
                  <c:v>69.980229885057383</c:v>
                </c:pt>
                <c:pt idx="1">
                  <c:v>82.396896551724126</c:v>
                </c:pt>
                <c:pt idx="2">
                  <c:v>95.574396551724135</c:v>
                </c:pt>
                <c:pt idx="3">
                  <c:v>109.56357155172418</c:v>
                </c:pt>
                <c:pt idx="4">
                  <c:v>124.41906130172413</c:v>
                </c:pt>
                <c:pt idx="5">
                  <c:v>140.19961865922414</c:v>
                </c:pt>
                <c:pt idx="6">
                  <c:v>156.96845286699909</c:v>
                </c:pt>
                <c:pt idx="7">
                  <c:v>313.14670719548684</c:v>
                </c:pt>
                <c:pt idx="8">
                  <c:v>332.10145318099813</c:v>
                </c:pt>
                <c:pt idx="9">
                  <c:v>352.26475638829976</c:v>
                </c:pt>
              </c:numCache>
            </c:numRef>
          </c:val>
        </c:ser>
        <c:ser>
          <c:idx val="3"/>
          <c:order val="3"/>
          <c:tx>
            <c:v>Volt Usagées</c:v>
          </c:tx>
          <c:invertIfNegative val="0"/>
          <c:dLbls>
            <c:dLbl>
              <c:idx val="0"/>
              <c:layout>
                <c:manualLayout>
                  <c:x val="3.6593478509075075E-3"/>
                  <c:y val="-7.3400067673075969E-2"/>
                </c:manualLayout>
              </c:layout>
              <c:tx>
                <c:rich>
                  <a:bodyPr rot="-5400000" vert="horz"/>
                  <a:lstStyle/>
                  <a:p>
                    <a:pPr>
                      <a:defRPr/>
                    </a:pPr>
                    <a:r>
                      <a:rPr lang="en-US" sz="1600"/>
                      <a:t>Volt Usagées</a:t>
                    </a:r>
                  </a:p>
                </c:rich>
              </c:tx>
              <c:spPr/>
              <c:showLegendKey val="0"/>
              <c:showVal val="0"/>
              <c:showCatName val="0"/>
              <c:showSerName val="1"/>
              <c:showPercent val="0"/>
              <c:showBubbleSize val="0"/>
            </c:dLbl>
            <c:showLegendKey val="0"/>
            <c:showVal val="0"/>
            <c:showCatName val="0"/>
            <c:showSerName val="0"/>
            <c:showPercent val="0"/>
            <c:showBubbleSize val="0"/>
          </c:dLbls>
          <c:cat>
            <c:strRef>
              <c:f>'Comparatif-SideBySide'!$C$59:$L$59</c:f>
              <c:strCache>
                <c:ptCount val="10"/>
                <c:pt idx="0">
                  <c:v>Année 1</c:v>
                </c:pt>
                <c:pt idx="1">
                  <c:v>Année 2</c:v>
                </c:pt>
                <c:pt idx="2">
                  <c:v>Année 3</c:v>
                </c:pt>
                <c:pt idx="3">
                  <c:v>Année 4</c:v>
                </c:pt>
                <c:pt idx="4">
                  <c:v>Année 5</c:v>
                </c:pt>
                <c:pt idx="5">
                  <c:v>Année 6</c:v>
                </c:pt>
                <c:pt idx="6">
                  <c:v>Année 7</c:v>
                </c:pt>
                <c:pt idx="7">
                  <c:v>Année 8</c:v>
                </c:pt>
                <c:pt idx="8">
                  <c:v>Année 9</c:v>
                </c:pt>
                <c:pt idx="9">
                  <c:v>Année 10</c:v>
                </c:pt>
              </c:strCache>
            </c:strRef>
          </c:cat>
          <c:val>
            <c:numRef>
              <c:f>'Comparatif-SideBySide'!$C$109:$L$109</c:f>
              <c:numCache>
                <c:formatCode>_("$"* #,##0.00_);_("$"* \(#,##0.00\);_("$"* "-"??_);_(@_)</c:formatCode>
                <c:ptCount val="10"/>
                <c:pt idx="0">
                  <c:v>176.33022988505735</c:v>
                </c:pt>
                <c:pt idx="1">
                  <c:v>188.74689655172409</c:v>
                </c:pt>
                <c:pt idx="2">
                  <c:v>201.9243965517241</c:v>
                </c:pt>
                <c:pt idx="3">
                  <c:v>215.9135715517242</c:v>
                </c:pt>
                <c:pt idx="4">
                  <c:v>230.76906130172409</c:v>
                </c:pt>
                <c:pt idx="5">
                  <c:v>246.54961865922417</c:v>
                </c:pt>
                <c:pt idx="6">
                  <c:v>263.31845286699911</c:v>
                </c:pt>
                <c:pt idx="7">
                  <c:v>313.14670719548684</c:v>
                </c:pt>
                <c:pt idx="8">
                  <c:v>332.10145318099813</c:v>
                </c:pt>
                <c:pt idx="9">
                  <c:v>352.26475638829976</c:v>
                </c:pt>
              </c:numCache>
            </c:numRef>
          </c:val>
        </c:ser>
        <c:ser>
          <c:idx val="4"/>
          <c:order val="4"/>
          <c:tx>
            <c:v>Kia Soul</c:v>
          </c:tx>
          <c:invertIfNegative val="0"/>
          <c:dLbls>
            <c:dLbl>
              <c:idx val="0"/>
              <c:layout>
                <c:manualLayout>
                  <c:x val="5.489021776361261E-3"/>
                  <c:y val="-0.21185928623819661"/>
                </c:manualLayout>
              </c:layout>
              <c:tx>
                <c:rich>
                  <a:bodyPr rot="-5400000" vert="horz"/>
                  <a:lstStyle/>
                  <a:p>
                    <a:pPr>
                      <a:defRPr/>
                    </a:pPr>
                    <a:r>
                      <a:rPr lang="en-US" sz="1600"/>
                      <a:t>Kia Soul</a:t>
                    </a:r>
                  </a:p>
                </c:rich>
              </c:tx>
              <c:spPr/>
              <c:showLegendKey val="0"/>
              <c:showVal val="0"/>
              <c:showCatName val="0"/>
              <c:showSerName val="1"/>
              <c:showPercent val="0"/>
              <c:showBubbleSize val="0"/>
            </c:dLbl>
            <c:showLegendKey val="0"/>
            <c:showVal val="0"/>
            <c:showCatName val="0"/>
            <c:showSerName val="0"/>
            <c:showPercent val="0"/>
            <c:showBubbleSize val="0"/>
          </c:dLbls>
          <c:cat>
            <c:strRef>
              <c:f>'Comparatif-SideBySide'!$C$59:$L$59</c:f>
              <c:strCache>
                <c:ptCount val="10"/>
                <c:pt idx="0">
                  <c:v>Année 1</c:v>
                </c:pt>
                <c:pt idx="1">
                  <c:v>Année 2</c:v>
                </c:pt>
                <c:pt idx="2">
                  <c:v>Année 3</c:v>
                </c:pt>
                <c:pt idx="3">
                  <c:v>Année 4</c:v>
                </c:pt>
                <c:pt idx="4">
                  <c:v>Année 5</c:v>
                </c:pt>
                <c:pt idx="5">
                  <c:v>Année 6</c:v>
                </c:pt>
                <c:pt idx="6">
                  <c:v>Année 7</c:v>
                </c:pt>
                <c:pt idx="7">
                  <c:v>Année 8</c:v>
                </c:pt>
                <c:pt idx="8">
                  <c:v>Année 9</c:v>
                </c:pt>
                <c:pt idx="9">
                  <c:v>Année 10</c:v>
                </c:pt>
              </c:strCache>
            </c:strRef>
          </c:cat>
          <c:val>
            <c:numRef>
              <c:f>'Comparatif-SideBySide'!$C$110:$L$110</c:f>
              <c:numCache>
                <c:formatCode>_("$"* #,##0.00_);_("$"* \(#,##0.00\);_("$"* "-"??_);_(@_)</c:formatCode>
                <c:ptCount val="10"/>
                <c:pt idx="0">
                  <c:v>105.35689655172411</c:v>
                </c:pt>
                <c:pt idx="1">
                  <c:v>117.77356321839079</c:v>
                </c:pt>
                <c:pt idx="2">
                  <c:v>130.9510632183908</c:v>
                </c:pt>
                <c:pt idx="3">
                  <c:v>144.9402382183909</c:v>
                </c:pt>
                <c:pt idx="4">
                  <c:v>159.79572796839079</c:v>
                </c:pt>
                <c:pt idx="5">
                  <c:v>175.57628532589086</c:v>
                </c:pt>
                <c:pt idx="6">
                  <c:v>192.34511953366581</c:v>
                </c:pt>
                <c:pt idx="7">
                  <c:v>313.14670719548684</c:v>
                </c:pt>
                <c:pt idx="8">
                  <c:v>332.10145318099813</c:v>
                </c:pt>
                <c:pt idx="9">
                  <c:v>352.26475638829976</c:v>
                </c:pt>
              </c:numCache>
            </c:numRef>
          </c:val>
        </c:ser>
        <c:ser>
          <c:idx val="5"/>
          <c:order val="5"/>
          <c:tx>
            <c:v>BMW i3</c:v>
          </c:tx>
          <c:invertIfNegative val="0"/>
          <c:dLbls>
            <c:dLbl>
              <c:idx val="0"/>
              <c:layout>
                <c:manualLayout>
                  <c:x val="5.4999278574362556E-3"/>
                  <c:y val="-2.5494819615625178E-2"/>
                </c:manualLayout>
              </c:layout>
              <c:tx>
                <c:rich>
                  <a:bodyPr rot="-5400000" vert="horz"/>
                  <a:lstStyle/>
                  <a:p>
                    <a:pPr>
                      <a:defRPr/>
                    </a:pPr>
                    <a:r>
                      <a:rPr lang="en-US" sz="1400"/>
                      <a:t>BMW i3</a:t>
                    </a:r>
                  </a:p>
                </c:rich>
              </c:tx>
              <c:spPr/>
              <c:showLegendKey val="0"/>
              <c:showVal val="0"/>
              <c:showCatName val="0"/>
              <c:showSerName val="1"/>
              <c:showPercent val="0"/>
              <c:showBubbleSize val="0"/>
            </c:dLbl>
            <c:showLegendKey val="0"/>
            <c:showVal val="0"/>
            <c:showCatName val="0"/>
            <c:showSerName val="0"/>
            <c:showPercent val="0"/>
            <c:showBubbleSize val="0"/>
          </c:dLbls>
          <c:cat>
            <c:strRef>
              <c:f>'Comparatif-SideBySide'!$C$59:$L$59</c:f>
              <c:strCache>
                <c:ptCount val="10"/>
                <c:pt idx="0">
                  <c:v>Année 1</c:v>
                </c:pt>
                <c:pt idx="1">
                  <c:v>Année 2</c:v>
                </c:pt>
                <c:pt idx="2">
                  <c:v>Année 3</c:v>
                </c:pt>
                <c:pt idx="3">
                  <c:v>Année 4</c:v>
                </c:pt>
                <c:pt idx="4">
                  <c:v>Année 5</c:v>
                </c:pt>
                <c:pt idx="5">
                  <c:v>Année 6</c:v>
                </c:pt>
                <c:pt idx="6">
                  <c:v>Année 7</c:v>
                </c:pt>
                <c:pt idx="7">
                  <c:v>Année 8</c:v>
                </c:pt>
                <c:pt idx="8">
                  <c:v>Année 9</c:v>
                </c:pt>
                <c:pt idx="9">
                  <c:v>Année 10</c:v>
                </c:pt>
              </c:strCache>
            </c:strRef>
          </c:cat>
          <c:val>
            <c:numRef>
              <c:f>'Comparatif-SideBySide'!$C$111:$L$111</c:f>
              <c:numCache>
                <c:formatCode>_("$"* #,##0.00_);_("$"* \(#,##0.00\);_("$"* "-"??_);_(@_)</c:formatCode>
                <c:ptCount val="10"/>
                <c:pt idx="0">
                  <c:v>-48.216436781609332</c:v>
                </c:pt>
                <c:pt idx="1">
                  <c:v>-35.799770114942589</c:v>
                </c:pt>
                <c:pt idx="2">
                  <c:v>-22.62227011494258</c:v>
                </c:pt>
                <c:pt idx="3">
                  <c:v>-8.6330951149425346</c:v>
                </c:pt>
                <c:pt idx="4">
                  <c:v>6.2223946350574124</c:v>
                </c:pt>
                <c:pt idx="5">
                  <c:v>22.002951992557428</c:v>
                </c:pt>
                <c:pt idx="6">
                  <c:v>38.771786200332372</c:v>
                </c:pt>
                <c:pt idx="7">
                  <c:v>313.14670719548684</c:v>
                </c:pt>
                <c:pt idx="8">
                  <c:v>332.10145318099813</c:v>
                </c:pt>
                <c:pt idx="9">
                  <c:v>352.26475638829976</c:v>
                </c:pt>
              </c:numCache>
            </c:numRef>
          </c:val>
        </c:ser>
        <c:dLbls>
          <c:showLegendKey val="0"/>
          <c:showVal val="0"/>
          <c:showCatName val="0"/>
          <c:showSerName val="0"/>
          <c:showPercent val="0"/>
          <c:showBubbleSize val="0"/>
        </c:dLbls>
        <c:gapWidth val="150"/>
        <c:axId val="76655232"/>
        <c:axId val="76693888"/>
      </c:barChart>
      <c:catAx>
        <c:axId val="76655232"/>
        <c:scaling>
          <c:orientation val="minMax"/>
        </c:scaling>
        <c:delete val="0"/>
        <c:axPos val="b"/>
        <c:majorTickMark val="out"/>
        <c:minorTickMark val="none"/>
        <c:tickLblPos val="nextTo"/>
        <c:crossAx val="76693888"/>
        <c:crosses val="autoZero"/>
        <c:auto val="1"/>
        <c:lblAlgn val="ctr"/>
        <c:lblOffset val="100"/>
        <c:noMultiLvlLbl val="0"/>
      </c:catAx>
      <c:valAx>
        <c:axId val="76693888"/>
        <c:scaling>
          <c:orientation val="minMax"/>
        </c:scaling>
        <c:delete val="0"/>
        <c:axPos val="l"/>
        <c:majorGridlines/>
        <c:numFmt formatCode="_(&quot;$&quot;* #,##0.00_);_(&quot;$&quot;* \(#,##0.00\);_(&quot;$&quot;* &quot;-&quot;??_);_(@_)" sourceLinked="1"/>
        <c:majorTickMark val="out"/>
        <c:minorTickMark val="none"/>
        <c:tickLblPos val="nextTo"/>
        <c:crossAx val="76655232"/>
        <c:crosses val="autoZero"/>
        <c:crossBetween val="between"/>
      </c:valAx>
    </c:plotArea>
    <c:legend>
      <c:legendPos val="r"/>
      <c:layout>
        <c:manualLayout>
          <c:xMode val="edge"/>
          <c:yMode val="edge"/>
          <c:x val="0.93364255884107661"/>
          <c:y val="0.49877283563807667"/>
          <c:w val="6.5428923471006706E-2"/>
          <c:h val="0.18099369085173503"/>
        </c:manualLayout>
      </c:layout>
      <c:overlay val="0"/>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Leaf</c:v>
          </c:tx>
          <c:marker>
            <c:symbol val="none"/>
          </c:marker>
          <c:dLbls>
            <c:dLbl>
              <c:idx val="0"/>
              <c:layout>
                <c:manualLayout>
                  <c:x val="-3.7901161976509785E-3"/>
                  <c:y val="1.4819086568617756E-2"/>
                </c:manualLayout>
              </c:layout>
              <c:showLegendKey val="0"/>
              <c:showVal val="1"/>
              <c:showCatName val="0"/>
              <c:showSerName val="1"/>
              <c:showPercent val="0"/>
              <c:showBubbleSize val="0"/>
            </c:dLbl>
            <c:showLegendKey val="0"/>
            <c:showVal val="0"/>
            <c:showCatName val="0"/>
            <c:showSerName val="0"/>
            <c:showPercent val="0"/>
            <c:showBubbleSize val="0"/>
          </c:dLbls>
          <c:cat>
            <c:strRef>
              <c:f>'Comparatif-SideBySide'!$C$59:$L$59</c:f>
              <c:strCache>
                <c:ptCount val="10"/>
                <c:pt idx="0">
                  <c:v>Année 1</c:v>
                </c:pt>
                <c:pt idx="1">
                  <c:v>Année 2</c:v>
                </c:pt>
                <c:pt idx="2">
                  <c:v>Année 3</c:v>
                </c:pt>
                <c:pt idx="3">
                  <c:v>Année 4</c:v>
                </c:pt>
                <c:pt idx="4">
                  <c:v>Année 5</c:v>
                </c:pt>
                <c:pt idx="5">
                  <c:v>Année 6</c:v>
                </c:pt>
                <c:pt idx="6">
                  <c:v>Année 7</c:v>
                </c:pt>
                <c:pt idx="7">
                  <c:v>Année 8</c:v>
                </c:pt>
                <c:pt idx="8">
                  <c:v>Année 9</c:v>
                </c:pt>
                <c:pt idx="9">
                  <c:v>Année 10</c:v>
                </c:pt>
              </c:strCache>
            </c:strRef>
          </c:cat>
          <c:val>
            <c:numRef>
              <c:f>'Comparatif-SideBySide'!$C$76:$L$76</c:f>
              <c:numCache>
                <c:formatCode>_("$"* #,##0.00_);_("$"* \(#,##0.00\);_("$"* "-"??_);_(@_)</c:formatCode>
                <c:ptCount val="10"/>
                <c:pt idx="0">
                  <c:v>4803.88</c:v>
                </c:pt>
                <c:pt idx="1">
                  <c:v>4814.88</c:v>
                </c:pt>
                <c:pt idx="2">
                  <c:v>4826.25</c:v>
                </c:pt>
                <c:pt idx="3">
                  <c:v>4838.0048999999999</c:v>
                </c:pt>
                <c:pt idx="4">
                  <c:v>4850.1602730000004</c:v>
                </c:pt>
                <c:pt idx="5">
                  <c:v>4862.7323972100003</c:v>
                </c:pt>
                <c:pt idx="6">
                  <c:v>4875.7382898417009</c:v>
                </c:pt>
                <c:pt idx="7">
                  <c:v>485.31574256040915</c:v>
                </c:pt>
                <c:pt idx="8">
                  <c:v>499.24335867958609</c:v>
                </c:pt>
                <c:pt idx="9">
                  <c:v>513.66059218454507</c:v>
                </c:pt>
              </c:numCache>
            </c:numRef>
          </c:val>
          <c:smooth val="0"/>
        </c:ser>
        <c:ser>
          <c:idx val="1"/>
          <c:order val="1"/>
          <c:tx>
            <c:v>Sparks</c:v>
          </c:tx>
          <c:marker>
            <c:symbol val="none"/>
          </c:marker>
          <c:dLbls>
            <c:dLbl>
              <c:idx val="0"/>
              <c:layout>
                <c:manualLayout>
                  <c:x val="-4.7376452470637232E-3"/>
                  <c:y val="-1.3172521394326947E-2"/>
                </c:manualLayout>
              </c:layout>
              <c:showLegendKey val="0"/>
              <c:showVal val="1"/>
              <c:showCatName val="0"/>
              <c:showSerName val="1"/>
              <c:showPercent val="0"/>
              <c:showBubbleSize val="0"/>
            </c:dLbl>
            <c:showLegendKey val="0"/>
            <c:showVal val="0"/>
            <c:showCatName val="0"/>
            <c:showSerName val="0"/>
            <c:showPercent val="0"/>
            <c:showBubbleSize val="0"/>
          </c:dLbls>
          <c:cat>
            <c:strRef>
              <c:f>'Comparatif-SideBySide'!$C$59:$L$59</c:f>
              <c:strCache>
                <c:ptCount val="10"/>
                <c:pt idx="0">
                  <c:v>Année 1</c:v>
                </c:pt>
                <c:pt idx="1">
                  <c:v>Année 2</c:v>
                </c:pt>
                <c:pt idx="2">
                  <c:v>Année 3</c:v>
                </c:pt>
                <c:pt idx="3">
                  <c:v>Année 4</c:v>
                </c:pt>
                <c:pt idx="4">
                  <c:v>Année 5</c:v>
                </c:pt>
                <c:pt idx="5">
                  <c:v>Année 6</c:v>
                </c:pt>
                <c:pt idx="6">
                  <c:v>Année 7</c:v>
                </c:pt>
                <c:pt idx="7">
                  <c:v>Année 8</c:v>
                </c:pt>
                <c:pt idx="8">
                  <c:v>Année 9</c:v>
                </c:pt>
                <c:pt idx="9">
                  <c:v>Année 10</c:v>
                </c:pt>
              </c:strCache>
            </c:strRef>
          </c:cat>
          <c:val>
            <c:numRef>
              <c:f>'Comparatif-SideBySide'!$C$77:$L$77</c:f>
              <c:numCache>
                <c:formatCode>_("$"* #,##0.00_);_("$"* \(#,##0.00\);_("$"* "-"??_);_(@_)</c:formatCode>
                <c:ptCount val="10"/>
                <c:pt idx="0">
                  <c:v>5177.24</c:v>
                </c:pt>
                <c:pt idx="1">
                  <c:v>5188.24</c:v>
                </c:pt>
                <c:pt idx="2">
                  <c:v>5199.6099999999997</c:v>
                </c:pt>
                <c:pt idx="3">
                  <c:v>5211.3648999999996</c:v>
                </c:pt>
                <c:pt idx="4">
                  <c:v>5223.5202730000001</c:v>
                </c:pt>
                <c:pt idx="5">
                  <c:v>5236.0923972099999</c:v>
                </c:pt>
                <c:pt idx="6">
                  <c:v>5249.0982898417005</c:v>
                </c:pt>
                <c:pt idx="7">
                  <c:v>485.31574256040915</c:v>
                </c:pt>
                <c:pt idx="8">
                  <c:v>499.24335867958609</c:v>
                </c:pt>
                <c:pt idx="9">
                  <c:v>513.66059218454507</c:v>
                </c:pt>
              </c:numCache>
            </c:numRef>
          </c:val>
          <c:smooth val="0"/>
        </c:ser>
        <c:ser>
          <c:idx val="2"/>
          <c:order val="2"/>
          <c:tx>
            <c:v>Volt Neuve</c:v>
          </c:tx>
          <c:marker>
            <c:symbol val="none"/>
          </c:marker>
          <c:dLbls>
            <c:dLbl>
              <c:idx val="0"/>
              <c:layout>
                <c:manualLayout>
                  <c:x val="-7.5802323953019571E-3"/>
                  <c:y val="-9.879391045745211E-3"/>
                </c:manualLayout>
              </c:layout>
              <c:showLegendKey val="0"/>
              <c:showVal val="1"/>
              <c:showCatName val="0"/>
              <c:showSerName val="1"/>
              <c:showPercent val="0"/>
              <c:showBubbleSize val="0"/>
            </c:dLbl>
            <c:showLegendKey val="0"/>
            <c:showVal val="0"/>
            <c:showCatName val="0"/>
            <c:showSerName val="0"/>
            <c:showPercent val="0"/>
            <c:showBubbleSize val="0"/>
          </c:dLbls>
          <c:cat>
            <c:strRef>
              <c:f>'Comparatif-SideBySide'!$C$59:$L$59</c:f>
              <c:strCache>
                <c:ptCount val="10"/>
                <c:pt idx="0">
                  <c:v>Année 1</c:v>
                </c:pt>
                <c:pt idx="1">
                  <c:v>Année 2</c:v>
                </c:pt>
                <c:pt idx="2">
                  <c:v>Année 3</c:v>
                </c:pt>
                <c:pt idx="3">
                  <c:v>Année 4</c:v>
                </c:pt>
                <c:pt idx="4">
                  <c:v>Année 5</c:v>
                </c:pt>
                <c:pt idx="5">
                  <c:v>Année 6</c:v>
                </c:pt>
                <c:pt idx="6">
                  <c:v>Année 7</c:v>
                </c:pt>
                <c:pt idx="7">
                  <c:v>Année 8</c:v>
                </c:pt>
                <c:pt idx="8">
                  <c:v>Année 9</c:v>
                </c:pt>
                <c:pt idx="9">
                  <c:v>Année 10</c:v>
                </c:pt>
              </c:strCache>
            </c:strRef>
          </c:cat>
          <c:val>
            <c:numRef>
              <c:f>'Comparatif-SideBySide'!$C$78:$L$78</c:f>
              <c:numCache>
                <c:formatCode>_("$"* #,##0.00_);_("$"* \(#,##0.00\);_("$"* "-"??_);_(@_)</c:formatCode>
                <c:ptCount val="10"/>
                <c:pt idx="0">
                  <c:v>6392.68</c:v>
                </c:pt>
                <c:pt idx="1">
                  <c:v>6403.68</c:v>
                </c:pt>
                <c:pt idx="2">
                  <c:v>6415.05</c:v>
                </c:pt>
                <c:pt idx="3">
                  <c:v>6426.8049000000001</c:v>
                </c:pt>
                <c:pt idx="4">
                  <c:v>6438.9602730000006</c:v>
                </c:pt>
                <c:pt idx="5">
                  <c:v>6451.5323972100005</c:v>
                </c:pt>
                <c:pt idx="6">
                  <c:v>6464.538289841701</c:v>
                </c:pt>
                <c:pt idx="7">
                  <c:v>485.31574256040915</c:v>
                </c:pt>
                <c:pt idx="8">
                  <c:v>499.24335867958609</c:v>
                </c:pt>
                <c:pt idx="9">
                  <c:v>513.66059218454507</c:v>
                </c:pt>
              </c:numCache>
            </c:numRef>
          </c:val>
          <c:smooth val="0"/>
        </c:ser>
        <c:ser>
          <c:idx val="3"/>
          <c:order val="3"/>
          <c:tx>
            <c:v>Volt Usagéee</c:v>
          </c:tx>
          <c:marker>
            <c:symbol val="none"/>
          </c:marker>
          <c:dLbls>
            <c:dLbl>
              <c:idx val="0"/>
              <c:layout>
                <c:manualLayout>
                  <c:x val="-3.7901161976509785E-3"/>
                  <c:y val="9.879391045745211E-3"/>
                </c:manualLayout>
              </c:layout>
              <c:showLegendKey val="0"/>
              <c:showVal val="1"/>
              <c:showCatName val="0"/>
              <c:showSerName val="1"/>
              <c:showPercent val="0"/>
              <c:showBubbleSize val="0"/>
            </c:dLbl>
            <c:showLegendKey val="0"/>
            <c:showVal val="0"/>
            <c:showCatName val="0"/>
            <c:showSerName val="0"/>
            <c:showPercent val="0"/>
            <c:showBubbleSize val="0"/>
          </c:dLbls>
          <c:cat>
            <c:strRef>
              <c:f>'Comparatif-SideBySide'!$C$59:$L$59</c:f>
              <c:strCache>
                <c:ptCount val="10"/>
                <c:pt idx="0">
                  <c:v>Année 1</c:v>
                </c:pt>
                <c:pt idx="1">
                  <c:v>Année 2</c:v>
                </c:pt>
                <c:pt idx="2">
                  <c:v>Année 3</c:v>
                </c:pt>
                <c:pt idx="3">
                  <c:v>Année 4</c:v>
                </c:pt>
                <c:pt idx="4">
                  <c:v>Année 5</c:v>
                </c:pt>
                <c:pt idx="5">
                  <c:v>Année 6</c:v>
                </c:pt>
                <c:pt idx="6">
                  <c:v>Année 7</c:v>
                </c:pt>
                <c:pt idx="7">
                  <c:v>Année 8</c:v>
                </c:pt>
                <c:pt idx="8">
                  <c:v>Année 9</c:v>
                </c:pt>
                <c:pt idx="9">
                  <c:v>Année 10</c:v>
                </c:pt>
              </c:strCache>
            </c:strRef>
          </c:cat>
          <c:val>
            <c:numRef>
              <c:f>'Comparatif-SideBySide'!$C$79:$L$79</c:f>
              <c:numCache>
                <c:formatCode>_("$"* #,##0.00_);_("$"* \(#,##0.00\);_("$"* "-"??_);_(@_)</c:formatCode>
                <c:ptCount val="10"/>
                <c:pt idx="0">
                  <c:v>5116.4800000000005</c:v>
                </c:pt>
                <c:pt idx="1">
                  <c:v>5127.4800000000005</c:v>
                </c:pt>
                <c:pt idx="2">
                  <c:v>5138.8500000000004</c:v>
                </c:pt>
                <c:pt idx="3">
                  <c:v>5150.6049000000003</c:v>
                </c:pt>
                <c:pt idx="4">
                  <c:v>5162.7602730000008</c:v>
                </c:pt>
                <c:pt idx="5">
                  <c:v>5175.3323972100006</c:v>
                </c:pt>
                <c:pt idx="6">
                  <c:v>5188.3382898417012</c:v>
                </c:pt>
                <c:pt idx="7">
                  <c:v>485.31574256040915</c:v>
                </c:pt>
                <c:pt idx="8">
                  <c:v>499.24335867958609</c:v>
                </c:pt>
                <c:pt idx="9">
                  <c:v>513.66059218454507</c:v>
                </c:pt>
              </c:numCache>
            </c:numRef>
          </c:val>
          <c:smooth val="0"/>
        </c:ser>
        <c:ser>
          <c:idx val="4"/>
          <c:order val="4"/>
          <c:tx>
            <c:v>Kia Soul</c:v>
          </c:tx>
          <c:marker>
            <c:symbol val="none"/>
          </c:marker>
          <c:dLbls>
            <c:dLbl>
              <c:idx val="0"/>
              <c:layout>
                <c:manualLayout>
                  <c:x val="-6.6327033458892124E-3"/>
                  <c:y val="1.6465651742908684E-2"/>
                </c:manualLayout>
              </c:layout>
              <c:showLegendKey val="0"/>
              <c:showVal val="1"/>
              <c:showCatName val="0"/>
              <c:showSerName val="1"/>
              <c:showPercent val="0"/>
              <c:showBubbleSize val="0"/>
            </c:dLbl>
            <c:showLegendKey val="0"/>
            <c:showVal val="0"/>
            <c:showCatName val="0"/>
            <c:showSerName val="0"/>
            <c:showPercent val="0"/>
            <c:showBubbleSize val="0"/>
          </c:dLbls>
          <c:cat>
            <c:strRef>
              <c:f>'Comparatif-SideBySide'!$C$59:$L$59</c:f>
              <c:strCache>
                <c:ptCount val="10"/>
                <c:pt idx="0">
                  <c:v>Année 1</c:v>
                </c:pt>
                <c:pt idx="1">
                  <c:v>Année 2</c:v>
                </c:pt>
                <c:pt idx="2">
                  <c:v>Année 3</c:v>
                </c:pt>
                <c:pt idx="3">
                  <c:v>Année 4</c:v>
                </c:pt>
                <c:pt idx="4">
                  <c:v>Année 5</c:v>
                </c:pt>
                <c:pt idx="5">
                  <c:v>Année 6</c:v>
                </c:pt>
                <c:pt idx="6">
                  <c:v>Année 7</c:v>
                </c:pt>
                <c:pt idx="7">
                  <c:v>Année 8</c:v>
                </c:pt>
                <c:pt idx="8">
                  <c:v>Année 9</c:v>
                </c:pt>
                <c:pt idx="9">
                  <c:v>Année 10</c:v>
                </c:pt>
              </c:strCache>
            </c:strRef>
          </c:cat>
          <c:val>
            <c:numRef>
              <c:f>'Comparatif-SideBySide'!$C$80:$L$80</c:f>
              <c:numCache>
                <c:formatCode>_("$"* #,##0.00_);_("$"* \(#,##0.00\);_("$"* "-"??_);_(@_)</c:formatCode>
                <c:ptCount val="10"/>
                <c:pt idx="0">
                  <c:v>5968.16</c:v>
                </c:pt>
                <c:pt idx="1">
                  <c:v>5979.16</c:v>
                </c:pt>
                <c:pt idx="2">
                  <c:v>5990.53</c:v>
                </c:pt>
                <c:pt idx="3">
                  <c:v>6002.2848999999997</c:v>
                </c:pt>
                <c:pt idx="4">
                  <c:v>6014.4402730000002</c:v>
                </c:pt>
                <c:pt idx="5">
                  <c:v>6027.01239721</c:v>
                </c:pt>
                <c:pt idx="6">
                  <c:v>6040.0182898417006</c:v>
                </c:pt>
                <c:pt idx="7">
                  <c:v>485.31574256040915</c:v>
                </c:pt>
                <c:pt idx="8">
                  <c:v>499.24335867958609</c:v>
                </c:pt>
                <c:pt idx="9">
                  <c:v>513.66059218454507</c:v>
                </c:pt>
              </c:numCache>
            </c:numRef>
          </c:val>
          <c:smooth val="0"/>
        </c:ser>
        <c:ser>
          <c:idx val="5"/>
          <c:order val="5"/>
          <c:tx>
            <c:v>BMW i3</c:v>
          </c:tx>
          <c:marker>
            <c:symbol val="none"/>
          </c:marker>
          <c:dLbls>
            <c:dLbl>
              <c:idx val="0"/>
              <c:layout>
                <c:manualLayout>
                  <c:x val="-6.6327033458892124E-3"/>
                  <c:y val="-2.9638302788036759E-2"/>
                </c:manualLayout>
              </c:layout>
              <c:showLegendKey val="0"/>
              <c:showVal val="1"/>
              <c:showCatName val="0"/>
              <c:showSerName val="1"/>
              <c:showPercent val="0"/>
              <c:showBubbleSize val="0"/>
            </c:dLbl>
            <c:showLegendKey val="0"/>
            <c:showVal val="0"/>
            <c:showCatName val="0"/>
            <c:showSerName val="0"/>
            <c:showPercent val="0"/>
            <c:showBubbleSize val="0"/>
          </c:dLbls>
          <c:cat>
            <c:strRef>
              <c:f>'Comparatif-SideBySide'!$C$59:$L$59</c:f>
              <c:strCache>
                <c:ptCount val="10"/>
                <c:pt idx="0">
                  <c:v>Année 1</c:v>
                </c:pt>
                <c:pt idx="1">
                  <c:v>Année 2</c:v>
                </c:pt>
                <c:pt idx="2">
                  <c:v>Année 3</c:v>
                </c:pt>
                <c:pt idx="3">
                  <c:v>Année 4</c:v>
                </c:pt>
                <c:pt idx="4">
                  <c:v>Année 5</c:v>
                </c:pt>
                <c:pt idx="5">
                  <c:v>Année 6</c:v>
                </c:pt>
                <c:pt idx="6">
                  <c:v>Année 7</c:v>
                </c:pt>
                <c:pt idx="7">
                  <c:v>Année 8</c:v>
                </c:pt>
                <c:pt idx="8">
                  <c:v>Année 9</c:v>
                </c:pt>
                <c:pt idx="9">
                  <c:v>Année 10</c:v>
                </c:pt>
              </c:strCache>
            </c:strRef>
          </c:cat>
          <c:val>
            <c:numRef>
              <c:f>'Comparatif-SideBySide'!$C$81:$L$81</c:f>
              <c:numCache>
                <c:formatCode>_("$"* #,##0.00_);_("$"* \(#,##0.00\);_("$"* "-"??_);_(@_)</c:formatCode>
                <c:ptCount val="10"/>
                <c:pt idx="0">
                  <c:v>7811.0400000000009</c:v>
                </c:pt>
                <c:pt idx="1">
                  <c:v>7822.0400000000009</c:v>
                </c:pt>
                <c:pt idx="2">
                  <c:v>7833.4100000000008</c:v>
                </c:pt>
                <c:pt idx="3">
                  <c:v>7845.1649000000007</c:v>
                </c:pt>
                <c:pt idx="4">
                  <c:v>7857.3202730000012</c:v>
                </c:pt>
                <c:pt idx="5">
                  <c:v>7869.892397210001</c:v>
                </c:pt>
                <c:pt idx="6">
                  <c:v>7882.8982898417016</c:v>
                </c:pt>
                <c:pt idx="7">
                  <c:v>485.31574256040915</c:v>
                </c:pt>
                <c:pt idx="8">
                  <c:v>499.24335867958609</c:v>
                </c:pt>
                <c:pt idx="9">
                  <c:v>513.66059218454507</c:v>
                </c:pt>
              </c:numCache>
            </c:numRef>
          </c:val>
          <c:smooth val="0"/>
        </c:ser>
        <c:ser>
          <c:idx val="6"/>
          <c:order val="6"/>
          <c:tx>
            <c:v>Yaris</c:v>
          </c:tx>
          <c:spPr>
            <a:ln w="50800">
              <a:solidFill>
                <a:srgbClr val="FF0000"/>
              </a:solidFill>
            </a:ln>
          </c:spPr>
          <c:marker>
            <c:symbol val="none"/>
          </c:marker>
          <c:dLbls>
            <c:dLbl>
              <c:idx val="0"/>
              <c:layout>
                <c:manualLayout>
                  <c:x val="-8.5277614447147009E-3"/>
                  <c:y val="-2.6345042788653895E-2"/>
                </c:manualLayout>
              </c:layout>
              <c:showLegendKey val="0"/>
              <c:showVal val="1"/>
              <c:showCatName val="0"/>
              <c:showSerName val="1"/>
              <c:showPercent val="0"/>
              <c:showBubbleSize val="0"/>
            </c:dLbl>
            <c:showLegendKey val="0"/>
            <c:showVal val="0"/>
            <c:showCatName val="0"/>
            <c:showSerName val="0"/>
            <c:showPercent val="0"/>
            <c:showBubbleSize val="0"/>
          </c:dLbls>
          <c:cat>
            <c:strRef>
              <c:f>'Comparatif-SideBySide'!$C$59:$L$59</c:f>
              <c:strCache>
                <c:ptCount val="10"/>
                <c:pt idx="0">
                  <c:v>Année 1</c:v>
                </c:pt>
                <c:pt idx="1">
                  <c:v>Année 2</c:v>
                </c:pt>
                <c:pt idx="2">
                  <c:v>Année 3</c:v>
                </c:pt>
                <c:pt idx="3">
                  <c:v>Année 4</c:v>
                </c:pt>
                <c:pt idx="4">
                  <c:v>Année 5</c:v>
                </c:pt>
                <c:pt idx="5">
                  <c:v>Année 6</c:v>
                </c:pt>
                <c:pt idx="6">
                  <c:v>Année 7</c:v>
                </c:pt>
                <c:pt idx="7">
                  <c:v>Année 8</c:v>
                </c:pt>
                <c:pt idx="8">
                  <c:v>Année 9</c:v>
                </c:pt>
                <c:pt idx="9">
                  <c:v>Année 10</c:v>
                </c:pt>
              </c:strCache>
            </c:strRef>
          </c:cat>
          <c:val>
            <c:numRef>
              <c:f>'Comparatif-SideBySide'!$C$83:$L$83</c:f>
              <c:numCache>
                <c:formatCode>_("$"* #,##0.00_);_("$"* \(#,##0.00\);_("$"* "-"??_);_(@_)</c:formatCode>
                <c:ptCount val="10"/>
                <c:pt idx="0">
                  <c:v>7232.4427586206893</c:v>
                </c:pt>
                <c:pt idx="1">
                  <c:v>7392.4427586206893</c:v>
                </c:pt>
                <c:pt idx="2">
                  <c:v>7561.9427586206893</c:v>
                </c:pt>
                <c:pt idx="3">
                  <c:v>7741.5677586206903</c:v>
                </c:pt>
                <c:pt idx="4">
                  <c:v>7931.9890086206897</c:v>
                </c:pt>
                <c:pt idx="5">
                  <c:v>8133.9278211206902</c:v>
                </c:pt>
                <c:pt idx="6">
                  <c:v>8348.1597242456901</c:v>
                </c:pt>
                <c:pt idx="7">
                  <c:v>4243.0762289062513</c:v>
                </c:pt>
                <c:pt idx="8">
                  <c:v>4484.4607968515638</c:v>
                </c:pt>
                <c:pt idx="9">
                  <c:v>4740.8376688441422</c:v>
                </c:pt>
              </c:numCache>
            </c:numRef>
          </c:val>
          <c:smooth val="0"/>
        </c:ser>
        <c:dLbls>
          <c:showLegendKey val="0"/>
          <c:showVal val="0"/>
          <c:showCatName val="0"/>
          <c:showSerName val="0"/>
          <c:showPercent val="0"/>
          <c:showBubbleSize val="0"/>
        </c:dLbls>
        <c:marker val="1"/>
        <c:smooth val="0"/>
        <c:axId val="76767616"/>
        <c:axId val="76769152"/>
      </c:lineChart>
      <c:catAx>
        <c:axId val="76767616"/>
        <c:scaling>
          <c:orientation val="minMax"/>
        </c:scaling>
        <c:delete val="0"/>
        <c:axPos val="b"/>
        <c:majorTickMark val="out"/>
        <c:minorTickMark val="none"/>
        <c:tickLblPos val="nextTo"/>
        <c:crossAx val="76769152"/>
        <c:crosses val="autoZero"/>
        <c:auto val="1"/>
        <c:lblAlgn val="ctr"/>
        <c:lblOffset val="100"/>
        <c:noMultiLvlLbl val="0"/>
      </c:catAx>
      <c:valAx>
        <c:axId val="76769152"/>
        <c:scaling>
          <c:orientation val="minMax"/>
        </c:scaling>
        <c:delete val="0"/>
        <c:axPos val="l"/>
        <c:majorGridlines/>
        <c:numFmt formatCode="_(&quot;$&quot;* #,##0.00_);_(&quot;$&quot;* \(#,##0.00\);_(&quot;$&quot;* &quot;-&quot;??_);_(@_)" sourceLinked="1"/>
        <c:majorTickMark val="out"/>
        <c:minorTickMark val="none"/>
        <c:tickLblPos val="nextTo"/>
        <c:crossAx val="7676761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A">
                <a:solidFill>
                  <a:srgbClr val="FF0000"/>
                </a:solidFill>
              </a:rPr>
              <a:t>GAZ</a:t>
            </a:r>
            <a:r>
              <a:rPr lang="fr-CA" baseline="0"/>
              <a:t> vs </a:t>
            </a:r>
            <a:r>
              <a:rPr lang="fr-CA" baseline="0">
                <a:solidFill>
                  <a:srgbClr val="0070C0"/>
                </a:solidFill>
              </a:rPr>
              <a:t>VÉ</a:t>
            </a:r>
            <a:endParaRPr lang="fr-CA">
              <a:solidFill>
                <a:srgbClr val="0070C0"/>
              </a:solidFill>
            </a:endParaRPr>
          </a:p>
        </c:rich>
      </c:tx>
      <c:layout>
        <c:manualLayout>
          <c:xMode val="edge"/>
          <c:yMode val="edge"/>
          <c:x val="0.19418744531933504"/>
          <c:y val="2.7777777777777776E-2"/>
        </c:manualLayout>
      </c:layout>
      <c:overlay val="1"/>
    </c:title>
    <c:autoTitleDeleted val="0"/>
    <c:plotArea>
      <c:layout/>
      <c:lineChart>
        <c:grouping val="standard"/>
        <c:varyColors val="0"/>
        <c:ser>
          <c:idx val="0"/>
          <c:order val="0"/>
          <c:tx>
            <c:v>VÉ</c:v>
          </c:tx>
          <c:marker>
            <c:symbol val="none"/>
          </c:marker>
          <c:dLbls>
            <c:dLbl>
              <c:idx val="9"/>
              <c:showLegendKey val="0"/>
              <c:showVal val="1"/>
              <c:showCatName val="0"/>
              <c:showSerName val="1"/>
              <c:showPercent val="0"/>
              <c:showBubbleSize val="0"/>
            </c:dLbl>
            <c:showLegendKey val="0"/>
            <c:showVal val="0"/>
            <c:showCatName val="0"/>
            <c:showSerName val="0"/>
            <c:showPercent val="0"/>
            <c:showBubbleSize val="0"/>
          </c:dLbls>
          <c:val>
            <c:numRef>
              <c:f>Francais!$C$29:$L$29</c:f>
              <c:numCache>
                <c:formatCode>_("$"* #,##0.00_);_("$"* \(#,##0.00\);_("$"* "-"??_);_(@_)</c:formatCode>
                <c:ptCount val="10"/>
                <c:pt idx="0">
                  <c:v>5459.5999999999995</c:v>
                </c:pt>
                <c:pt idx="1">
                  <c:v>10930.199999999999</c:v>
                </c:pt>
                <c:pt idx="2">
                  <c:v>16412.169999999998</c:v>
                </c:pt>
                <c:pt idx="3">
                  <c:v>21905.894899999999</c:v>
                </c:pt>
                <c:pt idx="4">
                  <c:v>27411.775172999998</c:v>
                </c:pt>
                <c:pt idx="5">
                  <c:v>32930.227570210001</c:v>
                </c:pt>
                <c:pt idx="6">
                  <c:v>38461.685860051701</c:v>
                </c:pt>
                <c:pt idx="7">
                  <c:v>38947.001602612108</c:v>
                </c:pt>
                <c:pt idx="8">
                  <c:v>39446.244961291697</c:v>
                </c:pt>
                <c:pt idx="9">
                  <c:v>39959.905553476245</c:v>
                </c:pt>
              </c:numCache>
            </c:numRef>
          </c:val>
          <c:smooth val="0"/>
        </c:ser>
        <c:ser>
          <c:idx val="1"/>
          <c:order val="1"/>
          <c:tx>
            <c:v>GAZ</c:v>
          </c:tx>
          <c:marker>
            <c:symbol val="none"/>
          </c:marker>
          <c:dLbls>
            <c:dLbl>
              <c:idx val="9"/>
              <c:showLegendKey val="0"/>
              <c:showVal val="1"/>
              <c:showCatName val="0"/>
              <c:showSerName val="1"/>
              <c:showPercent val="0"/>
              <c:showBubbleSize val="0"/>
            </c:dLbl>
            <c:showLegendKey val="0"/>
            <c:showVal val="0"/>
            <c:showCatName val="0"/>
            <c:showSerName val="0"/>
            <c:showPercent val="0"/>
            <c:showBubbleSize val="0"/>
          </c:dLbls>
          <c:val>
            <c:numRef>
              <c:f>Francais!$C$39:$L$39</c:f>
              <c:numCache>
                <c:formatCode>_("$"* #,##0.00_);_("$"* \(#,##0.00\);_("$"* "-"??_);_(@_)</c:formatCode>
                <c:ptCount val="10"/>
                <c:pt idx="0">
                  <c:v>8169.44</c:v>
                </c:pt>
                <c:pt idx="1">
                  <c:v>16506.93</c:v>
                </c:pt>
                <c:pt idx="2">
                  <c:v>25020.872500000001</c:v>
                </c:pt>
                <c:pt idx="3">
                  <c:v>33720.090125000002</c:v>
                </c:pt>
                <c:pt idx="4">
                  <c:v>42613.846631250002</c:v>
                </c:pt>
                <c:pt idx="5">
                  <c:v>51711.868962812499</c:v>
                </c:pt>
                <c:pt idx="6">
                  <c:v>61024.370410953125</c:v>
                </c:pt>
                <c:pt idx="7">
                  <c:v>65753.634931500783</c:v>
                </c:pt>
                <c:pt idx="8">
                  <c:v>70719.36267807582</c:v>
                </c:pt>
                <c:pt idx="9">
                  <c:v>75933.376811979615</c:v>
                </c:pt>
              </c:numCache>
            </c:numRef>
          </c:val>
          <c:smooth val="0"/>
        </c:ser>
        <c:dLbls>
          <c:showLegendKey val="0"/>
          <c:showVal val="0"/>
          <c:showCatName val="0"/>
          <c:showSerName val="0"/>
          <c:showPercent val="0"/>
          <c:showBubbleSize val="0"/>
        </c:dLbls>
        <c:marker val="1"/>
        <c:smooth val="0"/>
        <c:axId val="77044352"/>
        <c:axId val="77058432"/>
      </c:lineChart>
      <c:catAx>
        <c:axId val="77044352"/>
        <c:scaling>
          <c:orientation val="minMax"/>
        </c:scaling>
        <c:delete val="0"/>
        <c:axPos val="b"/>
        <c:majorTickMark val="out"/>
        <c:minorTickMark val="none"/>
        <c:tickLblPos val="nextTo"/>
        <c:crossAx val="77058432"/>
        <c:crosses val="autoZero"/>
        <c:auto val="1"/>
        <c:lblAlgn val="ctr"/>
        <c:lblOffset val="100"/>
        <c:noMultiLvlLbl val="0"/>
      </c:catAx>
      <c:valAx>
        <c:axId val="77058432"/>
        <c:scaling>
          <c:orientation val="minMax"/>
        </c:scaling>
        <c:delete val="0"/>
        <c:axPos val="l"/>
        <c:majorGridlines/>
        <c:numFmt formatCode="_(&quot;$&quot;* #,##0.00_);_(&quot;$&quot;* \(#,##0.00\);_(&quot;$&quot;* &quot;-&quot;??_);_(@_)" sourceLinked="1"/>
        <c:majorTickMark val="out"/>
        <c:minorTickMark val="none"/>
        <c:tickLblPos val="nextTo"/>
        <c:crossAx val="77044352"/>
        <c:crosses val="autoZero"/>
        <c:crossBetween val="between"/>
      </c:valAx>
    </c:plotArea>
    <c:legend>
      <c:legendPos val="r"/>
      <c:layout>
        <c:manualLayout>
          <c:xMode val="edge"/>
          <c:yMode val="edge"/>
          <c:x val="0.8591592295125885"/>
          <c:y val="0.67923444691134238"/>
          <c:w val="0.12483009670488987"/>
          <c:h val="0.1709564016622715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A">
                <a:solidFill>
                  <a:srgbClr val="FF0000"/>
                </a:solidFill>
              </a:rPr>
              <a:t>GAZ</a:t>
            </a:r>
            <a:r>
              <a:rPr lang="fr-CA" baseline="0"/>
              <a:t> vs </a:t>
            </a:r>
            <a:r>
              <a:rPr lang="fr-CA" baseline="0">
                <a:solidFill>
                  <a:srgbClr val="0070C0"/>
                </a:solidFill>
              </a:rPr>
              <a:t>Tesla</a:t>
            </a:r>
            <a:endParaRPr lang="fr-CA">
              <a:solidFill>
                <a:srgbClr val="0070C0"/>
              </a:solidFill>
            </a:endParaRPr>
          </a:p>
        </c:rich>
      </c:tx>
      <c:layout>
        <c:manualLayout>
          <c:xMode val="edge"/>
          <c:yMode val="edge"/>
          <c:x val="0.19491666666666665"/>
          <c:y val="3.2407407407407406E-2"/>
        </c:manualLayout>
      </c:layout>
      <c:overlay val="1"/>
    </c:title>
    <c:autoTitleDeleted val="0"/>
    <c:plotArea>
      <c:layout/>
      <c:lineChart>
        <c:grouping val="standard"/>
        <c:varyColors val="0"/>
        <c:ser>
          <c:idx val="0"/>
          <c:order val="0"/>
          <c:tx>
            <c:v>VÉ</c:v>
          </c:tx>
          <c:marker>
            <c:symbol val="none"/>
          </c:marker>
          <c:dLbls>
            <c:dLbl>
              <c:idx val="9"/>
              <c:showLegendKey val="0"/>
              <c:showVal val="1"/>
              <c:showCatName val="0"/>
              <c:showSerName val="1"/>
              <c:showPercent val="0"/>
              <c:showBubbleSize val="0"/>
            </c:dLbl>
            <c:showLegendKey val="0"/>
            <c:showVal val="0"/>
            <c:showCatName val="0"/>
            <c:showSerName val="0"/>
            <c:showPercent val="0"/>
            <c:showBubbleSize val="0"/>
          </c:dLbls>
          <c:val>
            <c:numRef>
              <c:f>Francais!$C$31:$L$31</c:f>
              <c:numCache>
                <c:formatCode>_("$"* #,##0.00_);_("$"* \(#,##0.00\);_("$"* "-"??_);_(@_)</c:formatCode>
                <c:ptCount val="10"/>
                <c:pt idx="0">
                  <c:v>15877.559999999998</c:v>
                </c:pt>
                <c:pt idx="1">
                  <c:v>31761.119999999995</c:v>
                </c:pt>
                <c:pt idx="2">
                  <c:v>47650.799999999996</c:v>
                </c:pt>
                <c:pt idx="3">
                  <c:v>63546.722399999991</c:v>
                </c:pt>
                <c:pt idx="4">
                  <c:v>79449.01204799999</c:v>
                </c:pt>
                <c:pt idx="5">
                  <c:v>95357.796288959988</c:v>
                </c:pt>
                <c:pt idx="6">
                  <c:v>111273.20501473919</c:v>
                </c:pt>
                <c:pt idx="7">
                  <c:v>112217.81071503396</c:v>
                </c:pt>
                <c:pt idx="8">
                  <c:v>113169.30852933464</c:v>
                </c:pt>
                <c:pt idx="9">
                  <c:v>114127.83629992133</c:v>
                </c:pt>
              </c:numCache>
            </c:numRef>
          </c:val>
          <c:smooth val="0"/>
        </c:ser>
        <c:ser>
          <c:idx val="1"/>
          <c:order val="1"/>
          <c:tx>
            <c:v>GAZ</c:v>
          </c:tx>
          <c:marker>
            <c:symbol val="none"/>
          </c:marker>
          <c:dLbls>
            <c:dLbl>
              <c:idx val="9"/>
              <c:layout>
                <c:manualLayout>
                  <c:x val="-9.876429116524601E-17"/>
                  <c:y val="4.727014890096902E-2"/>
                </c:manualLayout>
              </c:layout>
              <c:showLegendKey val="0"/>
              <c:showVal val="1"/>
              <c:showCatName val="0"/>
              <c:showSerName val="1"/>
              <c:showPercent val="0"/>
              <c:showBubbleSize val="0"/>
            </c:dLbl>
            <c:showLegendKey val="0"/>
            <c:showVal val="0"/>
            <c:showCatName val="0"/>
            <c:showSerName val="0"/>
            <c:showPercent val="0"/>
            <c:showBubbleSize val="0"/>
          </c:dLbls>
          <c:val>
            <c:numRef>
              <c:f>Francais!$C$39:$L$39</c:f>
              <c:numCache>
                <c:formatCode>_("$"* #,##0.00_);_("$"* \(#,##0.00\);_("$"* "-"??_);_(@_)</c:formatCode>
                <c:ptCount val="10"/>
                <c:pt idx="0">
                  <c:v>8169.44</c:v>
                </c:pt>
                <c:pt idx="1">
                  <c:v>16506.93</c:v>
                </c:pt>
                <c:pt idx="2">
                  <c:v>25020.872500000001</c:v>
                </c:pt>
                <c:pt idx="3">
                  <c:v>33720.090125000002</c:v>
                </c:pt>
                <c:pt idx="4">
                  <c:v>42613.846631250002</c:v>
                </c:pt>
                <c:pt idx="5">
                  <c:v>51711.868962812499</c:v>
                </c:pt>
                <c:pt idx="6">
                  <c:v>61024.370410953125</c:v>
                </c:pt>
                <c:pt idx="7">
                  <c:v>65753.634931500783</c:v>
                </c:pt>
                <c:pt idx="8">
                  <c:v>70719.36267807582</c:v>
                </c:pt>
                <c:pt idx="9">
                  <c:v>75933.376811979615</c:v>
                </c:pt>
              </c:numCache>
            </c:numRef>
          </c:val>
          <c:smooth val="0"/>
        </c:ser>
        <c:dLbls>
          <c:showLegendKey val="0"/>
          <c:showVal val="0"/>
          <c:showCatName val="0"/>
          <c:showSerName val="0"/>
          <c:showPercent val="0"/>
          <c:showBubbleSize val="0"/>
        </c:dLbls>
        <c:marker val="1"/>
        <c:smooth val="0"/>
        <c:axId val="77359744"/>
        <c:axId val="77369728"/>
      </c:lineChart>
      <c:catAx>
        <c:axId val="77359744"/>
        <c:scaling>
          <c:orientation val="minMax"/>
        </c:scaling>
        <c:delete val="0"/>
        <c:axPos val="b"/>
        <c:majorTickMark val="out"/>
        <c:minorTickMark val="none"/>
        <c:tickLblPos val="nextTo"/>
        <c:crossAx val="77369728"/>
        <c:crosses val="autoZero"/>
        <c:auto val="1"/>
        <c:lblAlgn val="ctr"/>
        <c:lblOffset val="100"/>
        <c:noMultiLvlLbl val="0"/>
      </c:catAx>
      <c:valAx>
        <c:axId val="77369728"/>
        <c:scaling>
          <c:orientation val="minMax"/>
        </c:scaling>
        <c:delete val="0"/>
        <c:axPos val="l"/>
        <c:majorGridlines/>
        <c:numFmt formatCode="_(&quot;$&quot;* #,##0.00_);_(&quot;$&quot;* \(#,##0.00\);_(&quot;$&quot;* &quot;-&quot;??_);_(@_)" sourceLinked="1"/>
        <c:majorTickMark val="out"/>
        <c:minorTickMark val="none"/>
        <c:tickLblPos val="nextTo"/>
        <c:crossAx val="77359744"/>
        <c:crosses val="autoZero"/>
        <c:crossBetween val="between"/>
      </c:valAx>
    </c:plotArea>
    <c:legend>
      <c:legendPos val="r"/>
      <c:layout>
        <c:manualLayout>
          <c:xMode val="edge"/>
          <c:yMode val="edge"/>
          <c:x val="0.8524442323497442"/>
          <c:y val="0.7028695213618269"/>
          <c:w val="0.12600694610143429"/>
          <c:h val="0.17095640166227152"/>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A">
                <a:solidFill>
                  <a:srgbClr val="FF0000"/>
                </a:solidFill>
              </a:rPr>
              <a:t>GAZ</a:t>
            </a:r>
            <a:r>
              <a:rPr lang="fr-CA"/>
              <a:t> vs </a:t>
            </a:r>
            <a:r>
              <a:rPr lang="fr-CA">
                <a:solidFill>
                  <a:srgbClr val="0070C0"/>
                </a:solidFill>
              </a:rPr>
              <a:t>BMW i3</a:t>
            </a:r>
          </a:p>
        </c:rich>
      </c:tx>
      <c:layout>
        <c:manualLayout>
          <c:xMode val="edge"/>
          <c:yMode val="edge"/>
          <c:x val="0.19095822397200352"/>
          <c:y val="2.7777777777777776E-2"/>
        </c:manualLayout>
      </c:layout>
      <c:overlay val="1"/>
    </c:title>
    <c:autoTitleDeleted val="0"/>
    <c:plotArea>
      <c:layout/>
      <c:lineChart>
        <c:grouping val="standard"/>
        <c:varyColors val="0"/>
        <c:ser>
          <c:idx val="0"/>
          <c:order val="0"/>
          <c:tx>
            <c:v>VÉ</c:v>
          </c:tx>
          <c:marker>
            <c:symbol val="none"/>
          </c:marker>
          <c:dLbls>
            <c:dLbl>
              <c:idx val="9"/>
              <c:showLegendKey val="0"/>
              <c:showVal val="1"/>
              <c:showCatName val="0"/>
              <c:showSerName val="1"/>
              <c:showPercent val="0"/>
              <c:showBubbleSize val="0"/>
            </c:dLbl>
            <c:showLegendKey val="0"/>
            <c:showVal val="0"/>
            <c:showCatName val="0"/>
            <c:showSerName val="0"/>
            <c:showPercent val="0"/>
            <c:showBubbleSize val="0"/>
          </c:dLbls>
          <c:val>
            <c:numRef>
              <c:f>Francais!$C$33:$L$33</c:f>
              <c:numCache>
                <c:formatCode>_("$"* #,##0.00_);_("$"* \(#,##0.00\);_("$"* "-"??_);_(@_)</c:formatCode>
                <c:ptCount val="10"/>
                <c:pt idx="0">
                  <c:v>6938.92</c:v>
                </c:pt>
                <c:pt idx="1">
                  <c:v>13888.84</c:v>
                </c:pt>
                <c:pt idx="2">
                  <c:v>20850.13</c:v>
                </c:pt>
                <c:pt idx="3">
                  <c:v>27823.174900000002</c:v>
                </c:pt>
                <c:pt idx="4">
                  <c:v>34808.375173</c:v>
                </c:pt>
                <c:pt idx="5">
                  <c:v>41806.14757021</c:v>
                </c:pt>
                <c:pt idx="6">
                  <c:v>48816.925860051699</c:v>
                </c:pt>
                <c:pt idx="7">
                  <c:v>49302.241602612106</c:v>
                </c:pt>
                <c:pt idx="8">
                  <c:v>49801.484961291695</c:v>
                </c:pt>
                <c:pt idx="9">
                  <c:v>50315.145553476243</c:v>
                </c:pt>
              </c:numCache>
            </c:numRef>
          </c:val>
          <c:smooth val="0"/>
        </c:ser>
        <c:ser>
          <c:idx val="1"/>
          <c:order val="1"/>
          <c:tx>
            <c:v>GAZ</c:v>
          </c:tx>
          <c:marker>
            <c:symbol val="none"/>
          </c:marker>
          <c:dLbls>
            <c:dLbl>
              <c:idx val="9"/>
              <c:showLegendKey val="0"/>
              <c:showVal val="1"/>
              <c:showCatName val="0"/>
              <c:showSerName val="1"/>
              <c:showPercent val="0"/>
              <c:showBubbleSize val="0"/>
            </c:dLbl>
            <c:showLegendKey val="0"/>
            <c:showVal val="0"/>
            <c:showCatName val="0"/>
            <c:showSerName val="0"/>
            <c:showPercent val="0"/>
            <c:showBubbleSize val="0"/>
          </c:dLbls>
          <c:val>
            <c:numRef>
              <c:f>Francais!$C$39:$L$39</c:f>
              <c:numCache>
                <c:formatCode>_("$"* #,##0.00_);_("$"* \(#,##0.00\);_("$"* "-"??_);_(@_)</c:formatCode>
                <c:ptCount val="10"/>
                <c:pt idx="0">
                  <c:v>8169.44</c:v>
                </c:pt>
                <c:pt idx="1">
                  <c:v>16506.93</c:v>
                </c:pt>
                <c:pt idx="2">
                  <c:v>25020.872500000001</c:v>
                </c:pt>
                <c:pt idx="3">
                  <c:v>33720.090125000002</c:v>
                </c:pt>
                <c:pt idx="4">
                  <c:v>42613.846631250002</c:v>
                </c:pt>
                <c:pt idx="5">
                  <c:v>51711.868962812499</c:v>
                </c:pt>
                <c:pt idx="6">
                  <c:v>61024.370410953125</c:v>
                </c:pt>
                <c:pt idx="7">
                  <c:v>65753.634931500783</c:v>
                </c:pt>
                <c:pt idx="8">
                  <c:v>70719.36267807582</c:v>
                </c:pt>
                <c:pt idx="9">
                  <c:v>75933.376811979615</c:v>
                </c:pt>
              </c:numCache>
            </c:numRef>
          </c:val>
          <c:smooth val="0"/>
        </c:ser>
        <c:dLbls>
          <c:showLegendKey val="0"/>
          <c:showVal val="0"/>
          <c:showCatName val="0"/>
          <c:showSerName val="0"/>
          <c:showPercent val="0"/>
          <c:showBubbleSize val="0"/>
        </c:dLbls>
        <c:marker val="1"/>
        <c:smooth val="0"/>
        <c:axId val="77211904"/>
        <c:axId val="77221888"/>
      </c:lineChart>
      <c:catAx>
        <c:axId val="77211904"/>
        <c:scaling>
          <c:orientation val="minMax"/>
        </c:scaling>
        <c:delete val="0"/>
        <c:axPos val="b"/>
        <c:majorTickMark val="out"/>
        <c:minorTickMark val="none"/>
        <c:tickLblPos val="nextTo"/>
        <c:crossAx val="77221888"/>
        <c:crosses val="autoZero"/>
        <c:auto val="1"/>
        <c:lblAlgn val="ctr"/>
        <c:lblOffset val="100"/>
        <c:noMultiLvlLbl val="0"/>
      </c:catAx>
      <c:valAx>
        <c:axId val="77221888"/>
        <c:scaling>
          <c:orientation val="minMax"/>
        </c:scaling>
        <c:delete val="0"/>
        <c:axPos val="l"/>
        <c:majorGridlines/>
        <c:numFmt formatCode="_(&quot;$&quot;* #,##0.00_);_(&quot;$&quot;* \(#,##0.00\);_(&quot;$&quot;* &quot;-&quot;??_);_(@_)" sourceLinked="1"/>
        <c:majorTickMark val="out"/>
        <c:minorTickMark val="none"/>
        <c:tickLblPos val="nextTo"/>
        <c:crossAx val="77211904"/>
        <c:crosses val="autoZero"/>
        <c:crossBetween val="between"/>
      </c:valAx>
      <c:spPr>
        <a:noFill/>
        <a:ln w="25400">
          <a:noFill/>
        </a:ln>
      </c:spPr>
    </c:plotArea>
    <c:legend>
      <c:legendPos val="r"/>
      <c:layout>
        <c:manualLayout>
          <c:xMode val="edge"/>
          <c:yMode val="edge"/>
          <c:x val="0.85126234390399813"/>
          <c:y val="0.7028695213618269"/>
          <c:w val="0.12701623334281151"/>
          <c:h val="0.17095640166227152"/>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A">
                <a:solidFill>
                  <a:srgbClr val="0070C0"/>
                </a:solidFill>
              </a:rPr>
              <a:t>TESLA</a:t>
            </a:r>
            <a:r>
              <a:rPr lang="fr-CA" baseline="0"/>
              <a:t> vs </a:t>
            </a:r>
            <a:r>
              <a:rPr lang="fr-CA" baseline="0">
                <a:solidFill>
                  <a:srgbClr val="FF0000"/>
                </a:solidFill>
              </a:rPr>
              <a:t>GAS</a:t>
            </a:r>
          </a:p>
        </c:rich>
      </c:tx>
      <c:layout>
        <c:manualLayout>
          <c:xMode val="edge"/>
          <c:yMode val="edge"/>
          <c:x val="0.19832633420822396"/>
          <c:y val="2.7777777777777776E-2"/>
        </c:manualLayout>
      </c:layout>
      <c:overlay val="1"/>
    </c:title>
    <c:autoTitleDeleted val="0"/>
    <c:plotArea>
      <c:layout/>
      <c:lineChart>
        <c:grouping val="standard"/>
        <c:varyColors val="0"/>
        <c:ser>
          <c:idx val="0"/>
          <c:order val="0"/>
          <c:tx>
            <c:v>VÉ</c:v>
          </c:tx>
          <c:marker>
            <c:symbol val="none"/>
          </c:marker>
          <c:dLbls>
            <c:dLbl>
              <c:idx val="9"/>
              <c:showLegendKey val="0"/>
              <c:showVal val="1"/>
              <c:showCatName val="0"/>
              <c:showSerName val="1"/>
              <c:showPercent val="0"/>
              <c:showBubbleSize val="0"/>
            </c:dLbl>
            <c:showLegendKey val="0"/>
            <c:showVal val="0"/>
            <c:showCatName val="0"/>
            <c:showSerName val="0"/>
            <c:showPercent val="0"/>
            <c:showBubbleSize val="0"/>
          </c:dLbls>
          <c:val>
            <c:numRef>
              <c:f>English!$C$31:$L$31</c:f>
              <c:numCache>
                <c:formatCode>_("$"* #,##0.00_);_("$"* \(#,##0.00\);_("$"* "-"??_);_(@_)</c:formatCode>
                <c:ptCount val="10"/>
                <c:pt idx="0">
                  <c:v>12025.58</c:v>
                </c:pt>
                <c:pt idx="1">
                  <c:v>24056.27</c:v>
                </c:pt>
                <c:pt idx="2">
                  <c:v>36092.172200000001</c:v>
                </c:pt>
                <c:pt idx="3">
                  <c:v>48133.390844000001</c:v>
                </c:pt>
                <c:pt idx="4">
                  <c:v>60180.032260880005</c:v>
                </c:pt>
                <c:pt idx="5">
                  <c:v>72232.204906097613</c:v>
                </c:pt>
                <c:pt idx="6">
                  <c:v>84290.019404219565</c:v>
                </c:pt>
                <c:pt idx="7">
                  <c:v>84583.508592303959</c:v>
                </c:pt>
                <c:pt idx="8">
                  <c:v>84882.86756415003</c:v>
                </c:pt>
                <c:pt idx="9">
                  <c:v>85188.213715433027</c:v>
                </c:pt>
              </c:numCache>
            </c:numRef>
          </c:val>
          <c:smooth val="0"/>
        </c:ser>
        <c:ser>
          <c:idx val="1"/>
          <c:order val="1"/>
          <c:tx>
            <c:v>GAZ</c:v>
          </c:tx>
          <c:marker>
            <c:symbol val="none"/>
          </c:marker>
          <c:dLbls>
            <c:dLbl>
              <c:idx val="9"/>
              <c:showLegendKey val="0"/>
              <c:showVal val="1"/>
              <c:showCatName val="0"/>
              <c:showSerName val="1"/>
              <c:showPercent val="0"/>
              <c:showBubbleSize val="0"/>
            </c:dLbl>
            <c:showLegendKey val="0"/>
            <c:showVal val="0"/>
            <c:showCatName val="0"/>
            <c:showSerName val="0"/>
            <c:showPercent val="0"/>
            <c:showBubbleSize val="0"/>
          </c:dLbls>
          <c:val>
            <c:numRef>
              <c:f>English!$C$40:$L$40</c:f>
              <c:numCache>
                <c:formatCode>_("$"* #,##0.00_);_("$"* \(#,##0.00\);_("$"* "-"??_);_(@_)</c:formatCode>
                <c:ptCount val="10"/>
                <c:pt idx="0">
                  <c:v>8168.44</c:v>
                </c:pt>
                <c:pt idx="1">
                  <c:v>16504.879999999997</c:v>
                </c:pt>
                <c:pt idx="2">
                  <c:v>25017.719999999998</c:v>
                </c:pt>
                <c:pt idx="3">
                  <c:v>33715.78</c:v>
                </c:pt>
                <c:pt idx="4">
                  <c:v>42608.320999999996</c:v>
                </c:pt>
                <c:pt idx="5">
                  <c:v>51705.067049999998</c:v>
                </c:pt>
                <c:pt idx="6">
                  <c:v>61016.228402499997</c:v>
                </c:pt>
                <c:pt idx="7">
                  <c:v>65744.085822624998</c:v>
                </c:pt>
                <c:pt idx="8">
                  <c:v>70708.336113756246</c:v>
                </c:pt>
                <c:pt idx="9">
                  <c:v>75920.79891944406</c:v>
                </c:pt>
              </c:numCache>
            </c:numRef>
          </c:val>
          <c:smooth val="0"/>
        </c:ser>
        <c:dLbls>
          <c:showLegendKey val="0"/>
          <c:showVal val="0"/>
          <c:showCatName val="0"/>
          <c:showSerName val="0"/>
          <c:showPercent val="0"/>
          <c:showBubbleSize val="0"/>
        </c:dLbls>
        <c:marker val="1"/>
        <c:smooth val="0"/>
        <c:axId val="124561664"/>
        <c:axId val="124567552"/>
      </c:lineChart>
      <c:catAx>
        <c:axId val="124561664"/>
        <c:scaling>
          <c:orientation val="minMax"/>
        </c:scaling>
        <c:delete val="0"/>
        <c:axPos val="b"/>
        <c:majorTickMark val="out"/>
        <c:minorTickMark val="none"/>
        <c:tickLblPos val="nextTo"/>
        <c:crossAx val="124567552"/>
        <c:crosses val="autoZero"/>
        <c:auto val="1"/>
        <c:lblAlgn val="ctr"/>
        <c:lblOffset val="100"/>
        <c:noMultiLvlLbl val="0"/>
      </c:catAx>
      <c:valAx>
        <c:axId val="124567552"/>
        <c:scaling>
          <c:orientation val="minMax"/>
        </c:scaling>
        <c:delete val="0"/>
        <c:axPos val="l"/>
        <c:majorGridlines/>
        <c:numFmt formatCode="_(&quot;$&quot;* #,##0.00_);_(&quot;$&quot;* \(#,##0.00\);_(&quot;$&quot;* &quot;-&quot;??_);_(@_)" sourceLinked="1"/>
        <c:majorTickMark val="out"/>
        <c:minorTickMark val="none"/>
        <c:tickLblPos val="nextTo"/>
        <c:crossAx val="124561664"/>
        <c:crosses val="autoZero"/>
        <c:crossBetween val="between"/>
      </c:valAx>
    </c:plotArea>
    <c:legend>
      <c:legendPos val="r"/>
      <c:layout>
        <c:manualLayout>
          <c:xMode val="edge"/>
          <c:yMode val="edge"/>
          <c:x val="0.85640870579250983"/>
          <c:y val="0.6790230718327348"/>
          <c:w val="0.12262143837524897"/>
          <c:h val="0.17075461176418102"/>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A">
                <a:solidFill>
                  <a:srgbClr val="0070C0"/>
                </a:solidFill>
              </a:rPr>
              <a:t>BMW</a:t>
            </a:r>
            <a:r>
              <a:rPr lang="fr-CA" baseline="0">
                <a:solidFill>
                  <a:srgbClr val="0070C0"/>
                </a:solidFill>
              </a:rPr>
              <a:t> i3 </a:t>
            </a:r>
            <a:r>
              <a:rPr lang="fr-CA" baseline="0"/>
              <a:t>vs </a:t>
            </a:r>
            <a:r>
              <a:rPr lang="fr-CA" baseline="0">
                <a:solidFill>
                  <a:srgbClr val="FF0000"/>
                </a:solidFill>
              </a:rPr>
              <a:t>GAS</a:t>
            </a:r>
          </a:p>
        </c:rich>
      </c:tx>
      <c:layout>
        <c:manualLayout>
          <c:xMode val="edge"/>
          <c:yMode val="edge"/>
          <c:x val="0.19386811023622047"/>
          <c:y val="2.7777777777777776E-2"/>
        </c:manualLayout>
      </c:layout>
      <c:overlay val="1"/>
    </c:title>
    <c:autoTitleDeleted val="0"/>
    <c:plotArea>
      <c:layout/>
      <c:lineChart>
        <c:grouping val="standard"/>
        <c:varyColors val="0"/>
        <c:ser>
          <c:idx val="0"/>
          <c:order val="0"/>
          <c:tx>
            <c:v>VÉ</c:v>
          </c:tx>
          <c:marker>
            <c:symbol val="none"/>
          </c:marker>
          <c:dLbls>
            <c:dLbl>
              <c:idx val="9"/>
              <c:showLegendKey val="0"/>
              <c:showVal val="1"/>
              <c:showCatName val="0"/>
              <c:showSerName val="1"/>
              <c:showPercent val="0"/>
              <c:showBubbleSize val="0"/>
            </c:dLbl>
            <c:showLegendKey val="0"/>
            <c:showVal val="0"/>
            <c:showCatName val="0"/>
            <c:showSerName val="0"/>
            <c:showPercent val="0"/>
            <c:showBubbleSize val="0"/>
          </c:dLbls>
          <c:val>
            <c:numRef>
              <c:f>English!$C$33:$L$33</c:f>
              <c:numCache>
                <c:formatCode>_("$"* #,##0.00_);_("$"* \(#,##0.00\);_("$"* "-"??_);_(@_)</c:formatCode>
                <c:ptCount val="10"/>
                <c:pt idx="0">
                  <c:v>6794.42</c:v>
                </c:pt>
                <c:pt idx="1">
                  <c:v>13593.95</c:v>
                </c:pt>
                <c:pt idx="2">
                  <c:v>20398.692200000001</c:v>
                </c:pt>
                <c:pt idx="3">
                  <c:v>27208.750844000002</c:v>
                </c:pt>
                <c:pt idx="4">
                  <c:v>34024.232260880002</c:v>
                </c:pt>
                <c:pt idx="5">
                  <c:v>40845.2449060976</c:v>
                </c:pt>
                <c:pt idx="6">
                  <c:v>47671.899404219555</c:v>
                </c:pt>
                <c:pt idx="7">
                  <c:v>47965.388592303949</c:v>
                </c:pt>
                <c:pt idx="8">
                  <c:v>48264.747564150028</c:v>
                </c:pt>
                <c:pt idx="9">
                  <c:v>48570.093715433031</c:v>
                </c:pt>
              </c:numCache>
            </c:numRef>
          </c:val>
          <c:smooth val="0"/>
        </c:ser>
        <c:ser>
          <c:idx val="1"/>
          <c:order val="1"/>
          <c:tx>
            <c:v>GAZ</c:v>
          </c:tx>
          <c:marker>
            <c:symbol val="none"/>
          </c:marker>
          <c:dLbls>
            <c:dLbl>
              <c:idx val="9"/>
              <c:showLegendKey val="0"/>
              <c:showVal val="1"/>
              <c:showCatName val="0"/>
              <c:showSerName val="1"/>
              <c:showPercent val="0"/>
              <c:showBubbleSize val="0"/>
            </c:dLbl>
            <c:showLegendKey val="0"/>
            <c:showVal val="0"/>
            <c:showCatName val="0"/>
            <c:showSerName val="0"/>
            <c:showPercent val="0"/>
            <c:showBubbleSize val="0"/>
          </c:dLbls>
          <c:val>
            <c:numRef>
              <c:f>English!$C$40:$L$40</c:f>
              <c:numCache>
                <c:formatCode>_("$"* #,##0.00_);_("$"* \(#,##0.00\);_("$"* "-"??_);_(@_)</c:formatCode>
                <c:ptCount val="10"/>
                <c:pt idx="0">
                  <c:v>8168.44</c:v>
                </c:pt>
                <c:pt idx="1">
                  <c:v>16504.879999999997</c:v>
                </c:pt>
                <c:pt idx="2">
                  <c:v>25017.719999999998</c:v>
                </c:pt>
                <c:pt idx="3">
                  <c:v>33715.78</c:v>
                </c:pt>
                <c:pt idx="4">
                  <c:v>42608.320999999996</c:v>
                </c:pt>
                <c:pt idx="5">
                  <c:v>51705.067049999998</c:v>
                </c:pt>
                <c:pt idx="6">
                  <c:v>61016.228402499997</c:v>
                </c:pt>
                <c:pt idx="7">
                  <c:v>65744.085822624998</c:v>
                </c:pt>
                <c:pt idx="8">
                  <c:v>70708.336113756246</c:v>
                </c:pt>
                <c:pt idx="9">
                  <c:v>75920.79891944406</c:v>
                </c:pt>
              </c:numCache>
            </c:numRef>
          </c:val>
          <c:smooth val="0"/>
        </c:ser>
        <c:dLbls>
          <c:showLegendKey val="0"/>
          <c:showVal val="0"/>
          <c:showCatName val="0"/>
          <c:showSerName val="0"/>
          <c:showPercent val="0"/>
          <c:showBubbleSize val="0"/>
        </c:dLbls>
        <c:marker val="1"/>
        <c:smooth val="0"/>
        <c:axId val="125130624"/>
        <c:axId val="125132160"/>
      </c:lineChart>
      <c:catAx>
        <c:axId val="125130624"/>
        <c:scaling>
          <c:orientation val="minMax"/>
        </c:scaling>
        <c:delete val="0"/>
        <c:axPos val="b"/>
        <c:majorTickMark val="out"/>
        <c:minorTickMark val="none"/>
        <c:tickLblPos val="nextTo"/>
        <c:crossAx val="125132160"/>
        <c:crosses val="autoZero"/>
        <c:auto val="1"/>
        <c:lblAlgn val="ctr"/>
        <c:lblOffset val="100"/>
        <c:noMultiLvlLbl val="0"/>
      </c:catAx>
      <c:valAx>
        <c:axId val="125132160"/>
        <c:scaling>
          <c:orientation val="minMax"/>
        </c:scaling>
        <c:delete val="0"/>
        <c:axPos val="l"/>
        <c:majorGridlines/>
        <c:numFmt formatCode="_(&quot;$&quot;* #,##0.00_);_(&quot;$&quot;* \(#,##0.00\);_(&quot;$&quot;* &quot;-&quot;??_);_(@_)" sourceLinked="1"/>
        <c:majorTickMark val="out"/>
        <c:minorTickMark val="none"/>
        <c:tickLblPos val="nextTo"/>
        <c:crossAx val="125130624"/>
        <c:crosses val="autoZero"/>
        <c:crossBetween val="between"/>
      </c:valAx>
    </c:plotArea>
    <c:legend>
      <c:legendPos val="r"/>
      <c:layout>
        <c:manualLayout>
          <c:xMode val="edge"/>
          <c:yMode val="edge"/>
          <c:x val="0.8458319882157006"/>
          <c:y val="0.7545660368941135"/>
          <c:w val="0.12701623334281151"/>
          <c:h val="0.1707546117641810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4.xml"/><Relationship Id="rId3" Type="http://schemas.openxmlformats.org/officeDocument/2006/relationships/image" Target="../media/image2.png"/><Relationship Id="rId7" Type="http://schemas.openxmlformats.org/officeDocument/2006/relationships/chart" Target="../charts/chart3.xml"/><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2.xml"/><Relationship Id="rId5" Type="http://schemas.openxmlformats.org/officeDocument/2006/relationships/image" Target="../media/image4.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xdr:col>
      <xdr:colOff>318423</xdr:colOff>
      <xdr:row>10</xdr:row>
      <xdr:rowOff>39485</xdr:rowOff>
    </xdr:from>
    <xdr:to>
      <xdr:col>12</xdr:col>
      <xdr:colOff>686723</xdr:colOff>
      <xdr:row>55</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128</xdr:row>
      <xdr:rowOff>0</xdr:rowOff>
    </xdr:from>
    <xdr:to>
      <xdr:col>6</xdr:col>
      <xdr:colOff>256250</xdr:colOff>
      <xdr:row>156</xdr:row>
      <xdr:rowOff>55167</xdr:rowOff>
    </xdr:to>
    <xdr:pic>
      <xdr:nvPicPr>
        <xdr:cNvPr id="6" name="Image 5"/>
        <xdr:cNvPicPr>
          <a:picLocks noChangeAspect="1"/>
        </xdr:cNvPicPr>
      </xdr:nvPicPr>
      <xdr:blipFill>
        <a:blip xmlns:r="http://schemas.openxmlformats.org/officeDocument/2006/relationships" r:embed="rId2"/>
        <a:stretch>
          <a:fillRect/>
        </a:stretch>
      </xdr:blipFill>
      <xdr:spPr>
        <a:xfrm>
          <a:off x="180109" y="23788255"/>
          <a:ext cx="7308214" cy="5098222"/>
        </a:xfrm>
        <a:prstGeom prst="rect">
          <a:avLst/>
        </a:prstGeom>
      </xdr:spPr>
    </xdr:pic>
    <xdr:clientData/>
  </xdr:twoCellAnchor>
  <xdr:twoCellAnchor editAs="oneCell">
    <xdr:from>
      <xdr:col>1</xdr:col>
      <xdr:colOff>0</xdr:colOff>
      <xdr:row>156</xdr:row>
      <xdr:rowOff>0</xdr:rowOff>
    </xdr:from>
    <xdr:to>
      <xdr:col>6</xdr:col>
      <xdr:colOff>4768</xdr:colOff>
      <xdr:row>187</xdr:row>
      <xdr:rowOff>17805</xdr:rowOff>
    </xdr:to>
    <xdr:pic>
      <xdr:nvPicPr>
        <xdr:cNvPr id="7" name="Image 6"/>
        <xdr:cNvPicPr>
          <a:picLocks noChangeAspect="1"/>
        </xdr:cNvPicPr>
      </xdr:nvPicPr>
      <xdr:blipFill>
        <a:blip xmlns:r="http://schemas.openxmlformats.org/officeDocument/2006/relationships" r:embed="rId3"/>
        <a:stretch>
          <a:fillRect/>
        </a:stretch>
      </xdr:blipFill>
      <xdr:spPr>
        <a:xfrm>
          <a:off x="180109" y="28831309"/>
          <a:ext cx="7056732" cy="5601186"/>
        </a:xfrm>
        <a:prstGeom prst="rect">
          <a:avLst/>
        </a:prstGeom>
      </xdr:spPr>
    </xdr:pic>
    <xdr:clientData/>
  </xdr:twoCellAnchor>
  <xdr:twoCellAnchor editAs="oneCell">
    <xdr:from>
      <xdr:col>1</xdr:col>
      <xdr:colOff>0</xdr:colOff>
      <xdr:row>187</xdr:row>
      <xdr:rowOff>0</xdr:rowOff>
    </xdr:from>
    <xdr:to>
      <xdr:col>6</xdr:col>
      <xdr:colOff>20009</xdr:colOff>
      <xdr:row>198</xdr:row>
      <xdr:rowOff>53516</xdr:rowOff>
    </xdr:to>
    <xdr:pic>
      <xdr:nvPicPr>
        <xdr:cNvPr id="8" name="Image 7"/>
        <xdr:cNvPicPr>
          <a:picLocks noChangeAspect="1"/>
        </xdr:cNvPicPr>
      </xdr:nvPicPr>
      <xdr:blipFill>
        <a:blip xmlns:r="http://schemas.openxmlformats.org/officeDocument/2006/relationships" r:embed="rId4"/>
        <a:stretch>
          <a:fillRect/>
        </a:stretch>
      </xdr:blipFill>
      <xdr:spPr>
        <a:xfrm>
          <a:off x="180109" y="34414691"/>
          <a:ext cx="7071973" cy="2034716"/>
        </a:xfrm>
        <a:prstGeom prst="rect">
          <a:avLst/>
        </a:prstGeom>
      </xdr:spPr>
    </xdr:pic>
    <xdr:clientData/>
  </xdr:twoCellAnchor>
  <xdr:twoCellAnchor editAs="oneCell">
    <xdr:from>
      <xdr:col>1</xdr:col>
      <xdr:colOff>0</xdr:colOff>
      <xdr:row>198</xdr:row>
      <xdr:rowOff>0</xdr:rowOff>
    </xdr:from>
    <xdr:to>
      <xdr:col>6</xdr:col>
      <xdr:colOff>20009</xdr:colOff>
      <xdr:row>224</xdr:row>
      <xdr:rowOff>19111</xdr:rowOff>
    </xdr:to>
    <xdr:pic>
      <xdr:nvPicPr>
        <xdr:cNvPr id="9" name="Image 8"/>
        <xdr:cNvPicPr>
          <a:picLocks noChangeAspect="1"/>
        </xdr:cNvPicPr>
      </xdr:nvPicPr>
      <xdr:blipFill>
        <a:blip xmlns:r="http://schemas.openxmlformats.org/officeDocument/2006/relationships" r:embed="rId5"/>
        <a:stretch>
          <a:fillRect/>
        </a:stretch>
      </xdr:blipFill>
      <xdr:spPr>
        <a:xfrm>
          <a:off x="180109" y="36395891"/>
          <a:ext cx="7071973" cy="4701948"/>
        </a:xfrm>
        <a:prstGeom prst="rect">
          <a:avLst/>
        </a:prstGeom>
      </xdr:spPr>
    </xdr:pic>
    <xdr:clientData/>
  </xdr:twoCellAnchor>
  <xdr:twoCellAnchor>
    <xdr:from>
      <xdr:col>1</xdr:col>
      <xdr:colOff>13855</xdr:colOff>
      <xdr:row>119</xdr:row>
      <xdr:rowOff>0</xdr:rowOff>
    </xdr:from>
    <xdr:to>
      <xdr:col>13</xdr:col>
      <xdr:colOff>13853</xdr:colOff>
      <xdr:row>159</xdr:row>
      <xdr:rowOff>124691</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160</xdr:row>
      <xdr:rowOff>6926</xdr:rowOff>
    </xdr:from>
    <xdr:to>
      <xdr:col>13</xdr:col>
      <xdr:colOff>41564</xdr:colOff>
      <xdr:row>202</xdr:row>
      <xdr:rowOff>124689</xdr:rowOff>
    </xdr:to>
    <xdr:graphicFrame macro="">
      <xdr:nvGraphicFramePr>
        <xdr:cNvPr id="5" name="Graphique 4" title="Économie par mois par raport et pour l'année X à la voiture comparativ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138546</xdr:colOff>
      <xdr:row>203</xdr:row>
      <xdr:rowOff>48489</xdr:rowOff>
    </xdr:from>
    <xdr:to>
      <xdr:col>12</xdr:col>
      <xdr:colOff>870857</xdr:colOff>
      <xdr:row>244</xdr:row>
      <xdr:rowOff>174172</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498764</xdr:colOff>
      <xdr:row>200</xdr:row>
      <xdr:rowOff>166255</xdr:rowOff>
    </xdr:from>
    <xdr:to>
      <xdr:col>13</xdr:col>
      <xdr:colOff>96981</xdr:colOff>
      <xdr:row>202</xdr:row>
      <xdr:rowOff>0</xdr:rowOff>
    </xdr:to>
    <xdr:sp macro="" textlink="">
      <xdr:nvSpPr>
        <xdr:cNvPr id="3" name="ZoneTexte 2"/>
        <xdr:cNvSpPr txBox="1"/>
      </xdr:nvSpPr>
      <xdr:spPr>
        <a:xfrm>
          <a:off x="13328073" y="36271200"/>
          <a:ext cx="803563" cy="193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400" b="1"/>
            <a:t>Année</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0.07424</cdr:x>
      <cdr:y>0.03799</cdr:y>
    </cdr:from>
    <cdr:to>
      <cdr:x>0.42758</cdr:x>
      <cdr:y>0.15978</cdr:y>
    </cdr:to>
    <cdr:sp macro="" textlink="">
      <cdr:nvSpPr>
        <cdr:cNvPr id="2" name="ZoneTexte 1"/>
        <cdr:cNvSpPr txBox="1"/>
      </cdr:nvSpPr>
      <cdr:spPr>
        <a:xfrm xmlns:a="http://schemas.openxmlformats.org/drawingml/2006/main">
          <a:off x="966355" y="319809"/>
          <a:ext cx="4599709" cy="10252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CA" sz="1800" b="1"/>
            <a:t>Montant totaux</a:t>
          </a:r>
          <a:r>
            <a:rPr lang="fr-CA" sz="1800" b="1" baseline="0"/>
            <a:t> cumulatifs par voiture pour chaque année incluant mensualitées + gaz + électricité + maintenances</a:t>
          </a:r>
          <a:endParaRPr lang="fr-CA" sz="1800" b="1"/>
        </a:p>
      </cdr:txBody>
    </cdr:sp>
  </cdr:relSizeAnchor>
  <cdr:relSizeAnchor xmlns:cdr="http://schemas.openxmlformats.org/drawingml/2006/chartDrawing">
    <cdr:from>
      <cdr:x>0.8235</cdr:x>
      <cdr:y>0.80657</cdr:y>
    </cdr:from>
    <cdr:to>
      <cdr:x>0.99486</cdr:x>
      <cdr:y>0.99254</cdr:y>
    </cdr:to>
    <cdr:sp macro="" textlink="">
      <cdr:nvSpPr>
        <cdr:cNvPr id="3" name="ZoneTexte 2"/>
        <cdr:cNvSpPr txBox="1"/>
      </cdr:nvSpPr>
      <cdr:spPr>
        <a:xfrm xmlns:a="http://schemas.openxmlformats.org/drawingml/2006/main">
          <a:off x="10719955" y="6789882"/>
          <a:ext cx="2230582" cy="15655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CA" sz="1600" b="1"/>
            <a:t>Lorsque la ligne de</a:t>
          </a:r>
          <a:r>
            <a:rPr lang="fr-CA" sz="1600" b="1" baseline="0"/>
            <a:t> la voiture électrique est en dessous de la voiture de référence alors elle coute moins cher</a:t>
          </a:r>
          <a:endParaRPr lang="fr-CA" sz="1600" b="1"/>
        </a:p>
      </cdr:txBody>
    </cdr:sp>
  </cdr:relSizeAnchor>
</c:userShapes>
</file>

<file path=xl/drawings/drawing3.xml><?xml version="1.0" encoding="utf-8"?>
<c:userShapes xmlns:c="http://schemas.openxmlformats.org/drawingml/2006/chart">
  <cdr:relSizeAnchor xmlns:cdr="http://schemas.openxmlformats.org/drawingml/2006/chartDrawing">
    <cdr:from>
      <cdr:x>0.056</cdr:x>
      <cdr:y>0.04405</cdr:y>
    </cdr:from>
    <cdr:to>
      <cdr:x>0.949</cdr:x>
      <cdr:y>0.10028</cdr:y>
    </cdr:to>
    <cdr:sp macro="" textlink="">
      <cdr:nvSpPr>
        <cdr:cNvPr id="2" name="ZoneTexte 1"/>
        <cdr:cNvSpPr txBox="1"/>
      </cdr:nvSpPr>
      <cdr:spPr>
        <a:xfrm xmlns:a="http://schemas.openxmlformats.org/drawingml/2006/main">
          <a:off x="775854" y="325582"/>
          <a:ext cx="12372109" cy="4156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CA" sz="2800"/>
            <a:t>1-Paiements</a:t>
          </a:r>
          <a:r>
            <a:rPr lang="fr-CA" sz="2800" baseline="0"/>
            <a:t> par mois </a:t>
          </a:r>
          <a:r>
            <a:rPr lang="fr-CA" sz="2800" b="1" u="sng" baseline="0"/>
            <a:t>tout compris </a:t>
          </a:r>
          <a:r>
            <a:rPr lang="fr-CA" sz="2800" baseline="0"/>
            <a:t>par voiture</a:t>
          </a:r>
          <a:endParaRPr lang="fr-CA" sz="2800"/>
        </a:p>
      </cdr:txBody>
    </cdr:sp>
  </cdr:relSizeAnchor>
</c:userShapes>
</file>

<file path=xl/drawings/drawing4.xml><?xml version="1.0" encoding="utf-8"?>
<c:userShapes xmlns:c="http://schemas.openxmlformats.org/drawingml/2006/chart">
  <cdr:relSizeAnchor xmlns:cdr="http://schemas.openxmlformats.org/drawingml/2006/chartDrawing">
    <cdr:from>
      <cdr:x>0.06979</cdr:x>
      <cdr:y>0.06096</cdr:y>
    </cdr:from>
    <cdr:to>
      <cdr:x>0.83034</cdr:x>
      <cdr:y>0.10828</cdr:y>
    </cdr:to>
    <cdr:sp macro="" textlink="">
      <cdr:nvSpPr>
        <cdr:cNvPr id="2" name="ZoneTexte 1"/>
        <cdr:cNvSpPr txBox="1"/>
      </cdr:nvSpPr>
      <cdr:spPr>
        <a:xfrm xmlns:a="http://schemas.openxmlformats.org/drawingml/2006/main">
          <a:off x="968852" y="464127"/>
          <a:ext cx="10558130" cy="3602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CA" sz="2000" b="1"/>
            <a:t>2- Argent</a:t>
          </a:r>
          <a:r>
            <a:rPr lang="fr-CA" sz="2000" b="1" baseline="0"/>
            <a:t> sauvé par mois pour les années de 1 à 10 parVÉ comparativement à la voiture de référence</a:t>
          </a:r>
          <a:endParaRPr lang="fr-CA" sz="2000" b="1"/>
        </a:p>
      </cdr:txBody>
    </cdr:sp>
  </cdr:relSizeAnchor>
</c:userShapes>
</file>

<file path=xl/drawings/drawing5.xml><?xml version="1.0" encoding="utf-8"?>
<c:userShapes xmlns:c="http://schemas.openxmlformats.org/drawingml/2006/chart">
  <cdr:relSizeAnchor xmlns:cdr="http://schemas.openxmlformats.org/drawingml/2006/chartDrawing">
    <cdr:from>
      <cdr:x>0.06593</cdr:x>
      <cdr:y>0.03604</cdr:y>
    </cdr:from>
    <cdr:to>
      <cdr:x>0.91409</cdr:x>
      <cdr:y>0.08298</cdr:y>
    </cdr:to>
    <cdr:sp macro="" textlink="">
      <cdr:nvSpPr>
        <cdr:cNvPr id="2" name="ZoneTexte 1"/>
        <cdr:cNvSpPr txBox="1"/>
      </cdr:nvSpPr>
      <cdr:spPr>
        <a:xfrm xmlns:a="http://schemas.openxmlformats.org/drawingml/2006/main">
          <a:off x="914400" y="297875"/>
          <a:ext cx="11762509" cy="3879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CA" sz="2000" b="1"/>
            <a:t>3- Couts</a:t>
          </a:r>
          <a:r>
            <a:rPr lang="fr-CA" sz="2000" b="1" baseline="0"/>
            <a:t> totaux des voitures par année ...(incluant prêt + gaz/électricité + Maintenances&amp;Réparation)</a:t>
          </a:r>
        </a:p>
        <a:p xmlns:a="http://schemas.openxmlformats.org/drawingml/2006/main">
          <a:endParaRPr lang="fr-CA" sz="2000"/>
        </a:p>
      </cdr:txBody>
    </cdr:sp>
  </cdr:relSizeAnchor>
  <cdr:relSizeAnchor xmlns:cdr="http://schemas.openxmlformats.org/drawingml/2006/chartDrawing">
    <cdr:from>
      <cdr:x>0.91009</cdr:x>
      <cdr:y>0.96144</cdr:y>
    </cdr:from>
    <cdr:to>
      <cdr:x>0.98801</cdr:x>
      <cdr:y>0.99162</cdr:y>
    </cdr:to>
    <cdr:sp macro="" textlink="">
      <cdr:nvSpPr>
        <cdr:cNvPr id="3" name="ZoneTexte 2"/>
        <cdr:cNvSpPr txBox="1"/>
      </cdr:nvSpPr>
      <cdr:spPr>
        <a:xfrm xmlns:a="http://schemas.openxmlformats.org/drawingml/2006/main">
          <a:off x="12621490" y="7945583"/>
          <a:ext cx="1080655" cy="2493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CA" sz="1400" b="1"/>
            <a:t>Année</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119062</xdr:colOff>
      <xdr:row>51</xdr:row>
      <xdr:rowOff>80962</xdr:rowOff>
    </xdr:from>
    <xdr:to>
      <xdr:col>3</xdr:col>
      <xdr:colOff>52387</xdr:colOff>
      <xdr:row>63</xdr:row>
      <xdr:rowOff>14287</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100012</xdr:colOff>
      <xdr:row>51</xdr:row>
      <xdr:rowOff>71437</xdr:rowOff>
    </xdr:from>
    <xdr:to>
      <xdr:col>8</xdr:col>
      <xdr:colOff>242887</xdr:colOff>
      <xdr:row>63</xdr:row>
      <xdr:rowOff>4762</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280987</xdr:colOff>
      <xdr:row>51</xdr:row>
      <xdr:rowOff>71437</xdr:rowOff>
    </xdr:from>
    <xdr:to>
      <xdr:col>12</xdr:col>
      <xdr:colOff>1443037</xdr:colOff>
      <xdr:row>63</xdr:row>
      <xdr:rowOff>4762</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742950</xdr:colOff>
      <xdr:row>48</xdr:row>
      <xdr:rowOff>114300</xdr:rowOff>
    </xdr:from>
    <xdr:to>
      <xdr:col>8</xdr:col>
      <xdr:colOff>0</xdr:colOff>
      <xdr:row>60</xdr:row>
      <xdr:rowOff>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38100</xdr:colOff>
      <xdr:row>48</xdr:row>
      <xdr:rowOff>114300</xdr:rowOff>
    </xdr:from>
    <xdr:to>
      <xdr:col>12</xdr:col>
      <xdr:colOff>1200150</xdr:colOff>
      <xdr:row>60</xdr:row>
      <xdr:rowOff>0</xdr:rowOff>
    </xdr:to>
    <xdr:graphicFrame macro="">
      <xdr:nvGraphicFramePr>
        <xdr:cNvPr id="7" name="Graphique 6" title="TESLA vs GAZ"/>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119062</xdr:colOff>
      <xdr:row>48</xdr:row>
      <xdr:rowOff>119062</xdr:rowOff>
    </xdr:from>
    <xdr:to>
      <xdr:col>2</xdr:col>
      <xdr:colOff>690562</xdr:colOff>
      <xdr:row>60</xdr:row>
      <xdr:rowOff>4762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266700</xdr:colOff>
      <xdr:row>6</xdr:row>
      <xdr:rowOff>165100</xdr:rowOff>
    </xdr:from>
    <xdr:to>
      <xdr:col>12</xdr:col>
      <xdr:colOff>635000</xdr:colOff>
      <xdr:row>53</xdr:row>
      <xdr:rowOff>132080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266700</xdr:colOff>
      <xdr:row>10</xdr:row>
      <xdr:rowOff>25400</xdr:rowOff>
    </xdr:from>
    <xdr:to>
      <xdr:col>12</xdr:col>
      <xdr:colOff>635000</xdr:colOff>
      <xdr:row>53</xdr:row>
      <xdr:rowOff>132080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101600</xdr:colOff>
      <xdr:row>9</xdr:row>
      <xdr:rowOff>88900</xdr:rowOff>
    </xdr:from>
    <xdr:to>
      <xdr:col>12</xdr:col>
      <xdr:colOff>850900</xdr:colOff>
      <xdr:row>54</xdr:row>
      <xdr:rowOff>63500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ravelectrique.com/" TargetMode="External"/><Relationship Id="rId7" Type="http://schemas.openxmlformats.org/officeDocument/2006/relationships/printerSettings" Target="../printerSettings/printerSettings1.bin"/><Relationship Id="rId2" Type="http://schemas.openxmlformats.org/officeDocument/2006/relationships/hyperlink" Target="http://www.aveq.ca/" TargetMode="External"/><Relationship Id="rId1" Type="http://schemas.openxmlformats.org/officeDocument/2006/relationships/hyperlink" Target="http://www.roulezelectrique.com/" TargetMode="External"/><Relationship Id="rId6" Type="http://schemas.openxmlformats.org/officeDocument/2006/relationships/hyperlink" Target="http://goo.gl/zAvyBS" TargetMode="External"/><Relationship Id="rId5" Type="http://schemas.openxmlformats.org/officeDocument/2006/relationships/hyperlink" Target="mailto:philjans@gmail.com" TargetMode="External"/><Relationship Id="rId10" Type="http://schemas.openxmlformats.org/officeDocument/2006/relationships/comments" Target="../comments1.xml"/><Relationship Id="rId4" Type="http://schemas.openxmlformats.org/officeDocument/2006/relationships/hyperlink" Target="http://goo.gl/zAvyBS" TargetMode="External"/><Relationship Id="rId9"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hyperlink" Target="http://www.ravelectrique.com/" TargetMode="External"/><Relationship Id="rId7" Type="http://schemas.openxmlformats.org/officeDocument/2006/relationships/printerSettings" Target="../printerSettings/printerSettings8.bin"/><Relationship Id="rId2" Type="http://schemas.openxmlformats.org/officeDocument/2006/relationships/hyperlink" Target="http://www.aveq.ca/" TargetMode="External"/><Relationship Id="rId1" Type="http://schemas.openxmlformats.org/officeDocument/2006/relationships/hyperlink" Target="http://www.roulezelectrique.com/" TargetMode="External"/><Relationship Id="rId6" Type="http://schemas.openxmlformats.org/officeDocument/2006/relationships/hyperlink" Target="mailto:philjans@gmail.com" TargetMode="External"/><Relationship Id="rId5" Type="http://schemas.openxmlformats.org/officeDocument/2006/relationships/hyperlink" Target="http://goo.gl/zAvyBS" TargetMode="External"/><Relationship Id="rId4" Type="http://schemas.openxmlformats.org/officeDocument/2006/relationships/hyperlink" Target="http://www.timetoelectrify.ca/" TargetMode="External"/></Relationships>
</file>

<file path=xl/worksheets/_rels/sheet11.xml.rels><?xml version="1.0" encoding="UTF-8" standalone="yes"?>
<Relationships xmlns="http://schemas.openxmlformats.org/package/2006/relationships"><Relationship Id="rId8" Type="http://schemas.openxmlformats.org/officeDocument/2006/relationships/drawing" Target="../drawings/drawing9.xml"/><Relationship Id="rId3" Type="http://schemas.openxmlformats.org/officeDocument/2006/relationships/hyperlink" Target="http://www.ravelectrique.com/" TargetMode="External"/><Relationship Id="rId7" Type="http://schemas.openxmlformats.org/officeDocument/2006/relationships/printerSettings" Target="../printerSettings/printerSettings9.bin"/><Relationship Id="rId2" Type="http://schemas.openxmlformats.org/officeDocument/2006/relationships/hyperlink" Target="http://www.aveq.ca/" TargetMode="External"/><Relationship Id="rId1" Type="http://schemas.openxmlformats.org/officeDocument/2006/relationships/hyperlink" Target="http://www.roulezelectrique.com/" TargetMode="External"/><Relationship Id="rId6" Type="http://schemas.openxmlformats.org/officeDocument/2006/relationships/hyperlink" Target="mailto:philjans@gmail.com" TargetMode="External"/><Relationship Id="rId5" Type="http://schemas.openxmlformats.org/officeDocument/2006/relationships/hyperlink" Target="http://goo.gl/zAvyBS" TargetMode="External"/><Relationship Id="rId4" Type="http://schemas.openxmlformats.org/officeDocument/2006/relationships/hyperlink" Target="http://www.timetoelectrify.ca/" TargetMode="External"/></Relationships>
</file>

<file path=xl/worksheets/_rels/sheet13.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roulezelectrique.com/" TargetMode="External"/><Relationship Id="rId7" Type="http://schemas.openxmlformats.org/officeDocument/2006/relationships/hyperlink" Target="http://goo.gl/zAvyBS" TargetMode="External"/><Relationship Id="rId2" Type="http://schemas.openxmlformats.org/officeDocument/2006/relationships/hyperlink" Target="http://www.canadianblackbook.com/fr/" TargetMode="External"/><Relationship Id="rId1" Type="http://schemas.openxmlformats.org/officeDocument/2006/relationships/hyperlink" Target="http://www.desjardins.com/fr/simulateurs/remb_pret_auto/index.jsp?pvm=1" TargetMode="External"/><Relationship Id="rId6" Type="http://schemas.openxmlformats.org/officeDocument/2006/relationships/hyperlink" Target="http://toutelectrique.ca/" TargetMode="External"/><Relationship Id="rId11" Type="http://schemas.openxmlformats.org/officeDocument/2006/relationships/comments" Target="../comments3.xml"/><Relationship Id="rId5" Type="http://schemas.openxmlformats.org/officeDocument/2006/relationships/hyperlink" Target="http://www.ravelectrique.com/" TargetMode="External"/><Relationship Id="rId10" Type="http://schemas.openxmlformats.org/officeDocument/2006/relationships/vmlDrawing" Target="../drawings/vmlDrawing3.vml"/><Relationship Id="rId4" Type="http://schemas.openxmlformats.org/officeDocument/2006/relationships/hyperlink" Target="http://www.aveq.ca/" TargetMode="External"/><Relationship Id="rId9"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www.roulezelectrique.com/" TargetMode="External"/><Relationship Id="rId7" Type="http://schemas.openxmlformats.org/officeDocument/2006/relationships/hyperlink" Target="http://goo.gl/zAvyBS" TargetMode="External"/><Relationship Id="rId2" Type="http://schemas.openxmlformats.org/officeDocument/2006/relationships/hyperlink" Target="http://www.canadianblackbook.com/fr/" TargetMode="External"/><Relationship Id="rId1" Type="http://schemas.openxmlformats.org/officeDocument/2006/relationships/hyperlink" Target="http://www.desjardins.com/fr/simulateurs/remb_pret_auto/index.jsp?pvm=1" TargetMode="External"/><Relationship Id="rId6" Type="http://schemas.openxmlformats.org/officeDocument/2006/relationships/hyperlink" Target="http://www.timetoelectrify.ca/" TargetMode="External"/><Relationship Id="rId11" Type="http://schemas.openxmlformats.org/officeDocument/2006/relationships/comments" Target="../comments4.xml"/><Relationship Id="rId5" Type="http://schemas.openxmlformats.org/officeDocument/2006/relationships/hyperlink" Target="http://www.ravelectrique.com/" TargetMode="External"/><Relationship Id="rId10" Type="http://schemas.openxmlformats.org/officeDocument/2006/relationships/vmlDrawing" Target="../drawings/vmlDrawing4.vml"/><Relationship Id="rId4" Type="http://schemas.openxmlformats.org/officeDocument/2006/relationships/hyperlink" Target="http://www.aveq.ca/" TargetMode="External"/><Relationship Id="rId9"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57"/>
  <sheetViews>
    <sheetView showGridLines="0" tabSelected="1" view="pageBreakPreview" topLeftCell="B1" zoomScale="85" zoomScaleNormal="70" zoomScaleSheetLayoutView="85" workbookViewId="0">
      <selection activeCell="B117" sqref="B117"/>
    </sheetView>
  </sheetViews>
  <sheetFormatPr baseColWidth="10" defaultRowHeight="14.4" x14ac:dyDescent="0.3"/>
  <cols>
    <col min="1" max="1" width="2.6640625" customWidth="1"/>
    <col min="2" max="2" width="49.44140625" customWidth="1"/>
    <col min="3" max="8" width="13.33203125" customWidth="1"/>
    <col min="9" max="12" width="13.77734375" customWidth="1"/>
    <col min="13" max="13" width="17.6640625" customWidth="1"/>
  </cols>
  <sheetData>
    <row r="1" spans="1:13" ht="8.25" customHeight="1" x14ac:dyDescent="0.3">
      <c r="A1" t="s">
        <v>163</v>
      </c>
    </row>
    <row r="2" spans="1:13" ht="25.8" x14ac:dyDescent="0.5">
      <c r="B2" s="332" t="s">
        <v>507</v>
      </c>
      <c r="C2" s="333"/>
      <c r="D2" s="333"/>
      <c r="E2" s="333"/>
      <c r="F2" s="333"/>
      <c r="G2" s="333"/>
      <c r="H2" s="333"/>
      <c r="I2" s="333"/>
      <c r="J2" s="333"/>
      <c r="K2" s="333"/>
      <c r="L2" s="333"/>
      <c r="M2" s="333"/>
    </row>
    <row r="3" spans="1:13" ht="25.8" x14ac:dyDescent="0.5">
      <c r="B3" s="323" t="s">
        <v>508</v>
      </c>
      <c r="C3" s="321"/>
      <c r="D3" s="321"/>
      <c r="E3" s="321"/>
      <c r="F3" s="321"/>
      <c r="G3" s="321"/>
      <c r="H3" s="321"/>
      <c r="I3" s="321"/>
      <c r="J3" s="321"/>
      <c r="K3" s="321"/>
      <c r="L3" s="321"/>
      <c r="M3" s="321"/>
    </row>
    <row r="4" spans="1:13" ht="25.8" x14ac:dyDescent="0.5">
      <c r="B4" s="324" t="s">
        <v>504</v>
      </c>
      <c r="C4" s="321"/>
      <c r="D4" s="321"/>
      <c r="E4" s="321"/>
      <c r="F4" s="321"/>
      <c r="G4" s="321"/>
      <c r="H4" s="321"/>
      <c r="I4" s="321"/>
      <c r="J4" s="321"/>
      <c r="K4" s="321"/>
      <c r="L4" s="321"/>
      <c r="M4" s="321"/>
    </row>
    <row r="5" spans="1:13" ht="25.8" x14ac:dyDescent="0.5">
      <c r="B5" s="324" t="s">
        <v>505</v>
      </c>
      <c r="C5" s="321"/>
      <c r="D5" s="321"/>
      <c r="E5" s="321"/>
      <c r="F5" s="321"/>
      <c r="G5" s="321"/>
      <c r="H5" s="321"/>
      <c r="I5" s="321"/>
      <c r="J5" s="321"/>
      <c r="K5" s="321"/>
      <c r="L5" s="321"/>
      <c r="M5" s="321"/>
    </row>
    <row r="6" spans="1:13" ht="24" customHeight="1" x14ac:dyDescent="0.3">
      <c r="B6" s="325" t="s">
        <v>509</v>
      </c>
      <c r="M6" t="s">
        <v>163</v>
      </c>
    </row>
    <row r="7" spans="1:13" x14ac:dyDescent="0.3">
      <c r="B7" s="325"/>
      <c r="I7" s="322" t="s">
        <v>502</v>
      </c>
    </row>
    <row r="8" spans="1:13" ht="24" customHeight="1" x14ac:dyDescent="0.6">
      <c r="B8" s="150" t="s">
        <v>188</v>
      </c>
      <c r="C8" s="175">
        <v>21500</v>
      </c>
      <c r="D8" t="s">
        <v>186</v>
      </c>
      <c r="L8" s="287" t="s">
        <v>212</v>
      </c>
    </row>
    <row r="9" spans="1:13" ht="12.6" customHeight="1" x14ac:dyDescent="0.3">
      <c r="B9" s="107" t="s">
        <v>187</v>
      </c>
      <c r="C9" s="175">
        <v>50</v>
      </c>
      <c r="D9" t="s">
        <v>186</v>
      </c>
      <c r="M9" t="s">
        <v>163</v>
      </c>
    </row>
    <row r="10" spans="1:13" ht="12.6" customHeight="1" x14ac:dyDescent="0.3">
      <c r="B10" s="107" t="s">
        <v>510</v>
      </c>
      <c r="C10" s="108">
        <f>M73</f>
        <v>32702.520592426958</v>
      </c>
      <c r="D10" t="s">
        <v>511</v>
      </c>
    </row>
    <row r="38" spans="3:12" x14ac:dyDescent="0.3">
      <c r="C38" s="15"/>
      <c r="D38" s="15"/>
      <c r="E38" s="15"/>
      <c r="F38" s="15"/>
      <c r="G38" s="15"/>
      <c r="H38" s="15"/>
      <c r="I38" s="15"/>
      <c r="J38" s="15"/>
      <c r="K38" s="15"/>
      <c r="L38" s="15"/>
    </row>
    <row r="39" spans="3:12" x14ac:dyDescent="0.3">
      <c r="C39" s="15"/>
      <c r="D39" s="15"/>
      <c r="E39" s="15"/>
      <c r="F39" s="15"/>
      <c r="G39" s="15"/>
      <c r="H39" s="15"/>
      <c r="I39" s="15"/>
      <c r="J39" s="15"/>
      <c r="K39" s="15"/>
      <c r="L39" s="15"/>
    </row>
    <row r="40" spans="3:12" x14ac:dyDescent="0.3">
      <c r="C40" s="15"/>
      <c r="D40" s="15"/>
      <c r="E40" s="15"/>
      <c r="F40" s="15"/>
      <c r="G40" s="15"/>
      <c r="H40" s="15"/>
      <c r="I40" s="15"/>
      <c r="J40" s="15"/>
      <c r="K40" s="15"/>
      <c r="L40" s="15"/>
    </row>
    <row r="41" spans="3:12" x14ac:dyDescent="0.3">
      <c r="C41" s="15"/>
      <c r="D41" s="15"/>
      <c r="E41" s="15"/>
      <c r="F41" s="15"/>
      <c r="G41" s="15"/>
      <c r="H41" s="15"/>
      <c r="I41" s="15"/>
      <c r="J41" s="15"/>
      <c r="K41" s="15"/>
      <c r="L41" s="15"/>
    </row>
    <row r="42" spans="3:12" x14ac:dyDescent="0.3">
      <c r="C42" s="15"/>
      <c r="D42" s="15"/>
      <c r="E42" s="15"/>
      <c r="F42" s="15"/>
      <c r="G42" s="15"/>
      <c r="H42" s="15"/>
      <c r="I42" s="15"/>
      <c r="J42" s="15"/>
      <c r="K42" s="15"/>
      <c r="L42" s="15"/>
    </row>
    <row r="43" spans="3:12" x14ac:dyDescent="0.3">
      <c r="C43" s="15"/>
      <c r="D43" s="15"/>
      <c r="E43" s="15"/>
      <c r="F43" s="15"/>
      <c r="G43" s="15"/>
      <c r="H43" s="15"/>
      <c r="I43" s="15"/>
      <c r="J43" s="15"/>
      <c r="K43" s="15"/>
      <c r="L43" s="15"/>
    </row>
    <row r="44" spans="3:12" x14ac:dyDescent="0.3">
      <c r="C44" s="15"/>
      <c r="D44" s="15"/>
      <c r="E44" s="15"/>
      <c r="F44" s="15"/>
      <c r="G44" s="15"/>
      <c r="H44" s="15"/>
      <c r="I44" s="15"/>
      <c r="J44" s="15"/>
      <c r="K44" s="15"/>
      <c r="L44" s="15"/>
    </row>
    <row r="45" spans="3:12" x14ac:dyDescent="0.3">
      <c r="C45" s="15"/>
      <c r="D45" s="15"/>
      <c r="E45" s="15"/>
      <c r="F45" s="15"/>
      <c r="G45" s="15"/>
      <c r="H45" s="15"/>
      <c r="I45" s="15"/>
      <c r="J45" s="15"/>
      <c r="K45" s="15"/>
      <c r="L45" s="15"/>
    </row>
    <row r="46" spans="3:12" x14ac:dyDescent="0.3">
      <c r="C46" s="15"/>
      <c r="D46" s="15"/>
      <c r="E46" s="15"/>
      <c r="F46" s="15"/>
      <c r="G46" s="15"/>
      <c r="H46" s="15"/>
      <c r="I46" s="15"/>
      <c r="J46" s="15"/>
      <c r="K46" s="15"/>
      <c r="L46" s="15"/>
    </row>
    <row r="47" spans="3:12" x14ac:dyDescent="0.3">
      <c r="C47" s="15"/>
      <c r="D47" s="15"/>
      <c r="E47" s="15"/>
      <c r="F47" s="15"/>
      <c r="G47" s="15"/>
      <c r="H47" s="15"/>
      <c r="I47" s="15"/>
      <c r="J47" s="15"/>
      <c r="K47" s="15"/>
      <c r="L47" s="15"/>
    </row>
    <row r="48" spans="3:12" x14ac:dyDescent="0.3">
      <c r="C48" s="15"/>
      <c r="D48" s="15"/>
      <c r="E48" s="15"/>
      <c r="F48" s="15"/>
      <c r="G48" s="15"/>
      <c r="H48" s="15"/>
      <c r="I48" s="15"/>
      <c r="J48" s="15"/>
      <c r="K48" s="15"/>
      <c r="L48" s="15"/>
    </row>
    <row r="49" spans="2:13" x14ac:dyDescent="0.3">
      <c r="C49" s="15"/>
      <c r="D49" s="15"/>
      <c r="E49" s="15"/>
      <c r="F49" s="15"/>
      <c r="G49" s="15"/>
      <c r="H49" s="15"/>
      <c r="I49" s="15"/>
      <c r="J49" s="15"/>
      <c r="K49" s="15"/>
      <c r="L49" s="15"/>
    </row>
    <row r="50" spans="2:13" x14ac:dyDescent="0.3">
      <c r="C50" s="15"/>
      <c r="D50" s="15"/>
      <c r="E50" s="15"/>
      <c r="F50" s="15"/>
      <c r="G50" s="15"/>
      <c r="H50" s="15"/>
      <c r="I50" s="15"/>
      <c r="J50" s="15"/>
      <c r="K50" s="15"/>
      <c r="L50" s="15"/>
    </row>
    <row r="51" spans="2:13" x14ac:dyDescent="0.3">
      <c r="C51" s="15"/>
      <c r="D51" s="15"/>
      <c r="E51" s="15"/>
      <c r="F51" s="15"/>
      <c r="G51" s="15"/>
      <c r="H51" s="15"/>
      <c r="I51" s="15"/>
      <c r="J51" s="15"/>
      <c r="K51" s="15"/>
      <c r="L51" s="15"/>
    </row>
    <row r="52" spans="2:13" x14ac:dyDescent="0.3">
      <c r="C52" s="15"/>
      <c r="D52" s="15"/>
      <c r="E52" s="15"/>
      <c r="F52" s="15"/>
      <c r="G52" s="15"/>
      <c r="H52" s="15"/>
      <c r="I52" s="15"/>
      <c r="J52" s="15"/>
      <c r="K52" s="15"/>
      <c r="L52" s="15"/>
    </row>
    <row r="53" spans="2:13" x14ac:dyDescent="0.3">
      <c r="C53" s="15"/>
      <c r="D53" s="15"/>
      <c r="E53" s="15"/>
      <c r="F53" s="15"/>
      <c r="G53" s="15"/>
      <c r="H53" s="15"/>
      <c r="I53" s="15"/>
      <c r="J53" s="15"/>
      <c r="K53" s="15"/>
      <c r="L53" s="15"/>
    </row>
    <row r="54" spans="2:13" x14ac:dyDescent="0.3">
      <c r="C54" s="15"/>
      <c r="D54" s="15"/>
      <c r="E54" s="15"/>
      <c r="F54" s="15"/>
      <c r="G54" s="15"/>
      <c r="H54" s="15"/>
      <c r="I54" s="15"/>
      <c r="J54" s="15"/>
      <c r="K54" s="15"/>
      <c r="L54" s="15"/>
    </row>
    <row r="55" spans="2:13" x14ac:dyDescent="0.3">
      <c r="C55" s="15"/>
      <c r="D55" s="15"/>
      <c r="E55" s="15"/>
      <c r="F55" s="15"/>
      <c r="G55" s="15"/>
      <c r="H55" s="15"/>
      <c r="I55" s="15"/>
      <c r="J55" s="15"/>
      <c r="K55" s="15"/>
      <c r="L55" s="15"/>
    </row>
    <row r="56" spans="2:13" x14ac:dyDescent="0.3">
      <c r="B56" s="320" t="s">
        <v>500</v>
      </c>
      <c r="C56" s="15"/>
      <c r="D56" s="15"/>
      <c r="E56" s="15"/>
      <c r="F56" s="15"/>
      <c r="G56" s="15"/>
      <c r="H56" s="15"/>
      <c r="I56" s="15"/>
      <c r="J56" s="15"/>
      <c r="K56" s="15"/>
      <c r="L56" s="15"/>
    </row>
    <row r="57" spans="2:13" x14ac:dyDescent="0.3">
      <c r="B57" s="320" t="s">
        <v>501</v>
      </c>
      <c r="C57" s="15"/>
      <c r="D57" s="15"/>
      <c r="E57" s="15"/>
      <c r="F57" s="15"/>
      <c r="G57" s="15"/>
      <c r="H57" s="15"/>
      <c r="I57" s="15"/>
      <c r="J57" s="15"/>
      <c r="K57" s="15"/>
      <c r="L57" s="15"/>
    </row>
    <row r="58" spans="2:13" x14ac:dyDescent="0.3">
      <c r="B58" s="285" t="s">
        <v>506</v>
      </c>
      <c r="C58" s="15"/>
      <c r="D58" s="15"/>
      <c r="E58" s="15"/>
      <c r="F58" s="15"/>
      <c r="G58" s="15"/>
      <c r="H58" s="15"/>
      <c r="I58" s="15"/>
      <c r="J58" s="15"/>
      <c r="K58" s="15"/>
      <c r="L58" s="15"/>
    </row>
    <row r="59" spans="2:13" ht="13.8" customHeight="1" thickBot="1" x14ac:dyDescent="0.35">
      <c r="C59" s="15" t="s">
        <v>11</v>
      </c>
      <c r="D59" s="189" t="s">
        <v>12</v>
      </c>
      <c r="E59" s="189" t="s">
        <v>13</v>
      </c>
      <c r="F59" s="189" t="s">
        <v>14</v>
      </c>
      <c r="G59" s="189" t="s">
        <v>15</v>
      </c>
      <c r="H59" s="189" t="s">
        <v>16</v>
      </c>
      <c r="I59" s="189" t="s">
        <v>17</v>
      </c>
      <c r="J59" s="15" t="s">
        <v>18</v>
      </c>
      <c r="K59" s="15" t="s">
        <v>19</v>
      </c>
      <c r="L59" s="15" t="s">
        <v>20</v>
      </c>
      <c r="M59" s="15" t="s">
        <v>0</v>
      </c>
    </row>
    <row r="60" spans="2:13" ht="13.8" customHeight="1" x14ac:dyDescent="0.3">
      <c r="B60" s="300" t="s">
        <v>185</v>
      </c>
      <c r="C60" s="301">
        <f>84.69*52</f>
        <v>4403.88</v>
      </c>
      <c r="D60" s="301">
        <f t="shared" ref="D60:I65" si="0">C60</f>
        <v>4403.88</v>
      </c>
      <c r="E60" s="301">
        <f t="shared" si="0"/>
        <v>4403.88</v>
      </c>
      <c r="F60" s="301">
        <f t="shared" si="0"/>
        <v>4403.88</v>
      </c>
      <c r="G60" s="301">
        <f t="shared" si="0"/>
        <v>4403.88</v>
      </c>
      <c r="H60" s="301">
        <f t="shared" si="0"/>
        <v>4403.88</v>
      </c>
      <c r="I60" s="301">
        <f t="shared" si="0"/>
        <v>4403.88</v>
      </c>
      <c r="J60" s="301"/>
      <c r="K60" s="301"/>
      <c r="L60" s="301"/>
      <c r="M60" s="302">
        <f t="shared" ref="M60:M74" si="1">SUM(C60:L60)</f>
        <v>30827.160000000003</v>
      </c>
    </row>
    <row r="61" spans="2:13" ht="13.8" customHeight="1" x14ac:dyDescent="0.3">
      <c r="B61" s="303" t="s">
        <v>184</v>
      </c>
      <c r="C61" s="304">
        <f>91.87*52</f>
        <v>4777.24</v>
      </c>
      <c r="D61" s="304">
        <f t="shared" si="0"/>
        <v>4777.24</v>
      </c>
      <c r="E61" s="304">
        <f t="shared" si="0"/>
        <v>4777.24</v>
      </c>
      <c r="F61" s="304">
        <f t="shared" si="0"/>
        <v>4777.24</v>
      </c>
      <c r="G61" s="304">
        <f t="shared" si="0"/>
        <v>4777.24</v>
      </c>
      <c r="H61" s="304">
        <f t="shared" si="0"/>
        <v>4777.24</v>
      </c>
      <c r="I61" s="304">
        <f t="shared" si="0"/>
        <v>4777.24</v>
      </c>
      <c r="J61" s="304"/>
      <c r="K61" s="304"/>
      <c r="L61" s="304"/>
      <c r="M61" s="305">
        <f t="shared" si="1"/>
        <v>33440.679999999993</v>
      </c>
    </row>
    <row r="62" spans="2:13" ht="13.8" customHeight="1" x14ac:dyDescent="0.3">
      <c r="B62" s="303" t="s">
        <v>183</v>
      </c>
      <c r="C62" s="304">
        <f t="shared" ref="C62" si="2">499.39*12</f>
        <v>5992.68</v>
      </c>
      <c r="D62" s="304">
        <f t="shared" si="0"/>
        <v>5992.68</v>
      </c>
      <c r="E62" s="304">
        <f t="shared" si="0"/>
        <v>5992.68</v>
      </c>
      <c r="F62" s="304">
        <f t="shared" si="0"/>
        <v>5992.68</v>
      </c>
      <c r="G62" s="304">
        <f t="shared" si="0"/>
        <v>5992.68</v>
      </c>
      <c r="H62" s="304">
        <f t="shared" si="0"/>
        <v>5992.68</v>
      </c>
      <c r="I62" s="304">
        <f t="shared" si="0"/>
        <v>5992.68</v>
      </c>
      <c r="J62" s="304"/>
      <c r="K62" s="304"/>
      <c r="L62" s="304"/>
      <c r="M62" s="305">
        <f t="shared" si="1"/>
        <v>41948.76</v>
      </c>
    </row>
    <row r="63" spans="2:13" ht="13.8" customHeight="1" x14ac:dyDescent="0.3">
      <c r="B63" s="303" t="s">
        <v>182</v>
      </c>
      <c r="C63" s="304">
        <f t="shared" ref="C63" si="3">393.04*12</f>
        <v>4716.4800000000005</v>
      </c>
      <c r="D63" s="304">
        <f t="shared" si="0"/>
        <v>4716.4800000000005</v>
      </c>
      <c r="E63" s="304">
        <f t="shared" si="0"/>
        <v>4716.4800000000005</v>
      </c>
      <c r="F63" s="304">
        <f t="shared" si="0"/>
        <v>4716.4800000000005</v>
      </c>
      <c r="G63" s="304">
        <f t="shared" si="0"/>
        <v>4716.4800000000005</v>
      </c>
      <c r="H63" s="304">
        <f t="shared" si="0"/>
        <v>4716.4800000000005</v>
      </c>
      <c r="I63" s="304">
        <f t="shared" si="0"/>
        <v>4716.4800000000005</v>
      </c>
      <c r="J63" s="304"/>
      <c r="K63" s="304"/>
      <c r="L63" s="304"/>
      <c r="M63" s="305">
        <f t="shared" si="1"/>
        <v>33015.360000000001</v>
      </c>
    </row>
    <row r="64" spans="2:13" ht="13.8" customHeight="1" x14ac:dyDescent="0.3">
      <c r="B64" s="303" t="s">
        <v>218</v>
      </c>
      <c r="C64" s="304">
        <f>107.08*52</f>
        <v>5568.16</v>
      </c>
      <c r="D64" s="304">
        <f t="shared" si="0"/>
        <v>5568.16</v>
      </c>
      <c r="E64" s="304">
        <f t="shared" si="0"/>
        <v>5568.16</v>
      </c>
      <c r="F64" s="304">
        <f t="shared" si="0"/>
        <v>5568.16</v>
      </c>
      <c r="G64" s="304">
        <f t="shared" si="0"/>
        <v>5568.16</v>
      </c>
      <c r="H64" s="304">
        <f t="shared" si="0"/>
        <v>5568.16</v>
      </c>
      <c r="I64" s="304">
        <f t="shared" si="0"/>
        <v>5568.16</v>
      </c>
      <c r="J64" s="304"/>
      <c r="K64" s="304"/>
      <c r="L64" s="304"/>
      <c r="M64" s="305">
        <f>SUM(C64:L64)</f>
        <v>38977.119999999995</v>
      </c>
    </row>
    <row r="65" spans="2:13" ht="13.8" customHeight="1" x14ac:dyDescent="0.3">
      <c r="B65" s="303" t="s">
        <v>181</v>
      </c>
      <c r="C65" s="304">
        <f t="shared" ref="C65" si="4">142.52*52</f>
        <v>7411.0400000000009</v>
      </c>
      <c r="D65" s="304">
        <f t="shared" si="0"/>
        <v>7411.0400000000009</v>
      </c>
      <c r="E65" s="304">
        <f t="shared" si="0"/>
        <v>7411.0400000000009</v>
      </c>
      <c r="F65" s="304">
        <f t="shared" si="0"/>
        <v>7411.0400000000009</v>
      </c>
      <c r="G65" s="304">
        <f t="shared" si="0"/>
        <v>7411.0400000000009</v>
      </c>
      <c r="H65" s="304">
        <f t="shared" si="0"/>
        <v>7411.0400000000009</v>
      </c>
      <c r="I65" s="304">
        <f t="shared" si="0"/>
        <v>7411.0400000000009</v>
      </c>
      <c r="J65" s="304"/>
      <c r="K65" s="304"/>
      <c r="L65" s="304"/>
      <c r="M65" s="305">
        <f t="shared" si="1"/>
        <v>51877.280000000006</v>
      </c>
    </row>
    <row r="66" spans="2:13" ht="13.8" customHeight="1" x14ac:dyDescent="0.3">
      <c r="B66" s="303" t="s">
        <v>296</v>
      </c>
      <c r="C66" s="304">
        <f>288.03*52</f>
        <v>14977.559999999998</v>
      </c>
      <c r="D66" s="304">
        <f>C66</f>
        <v>14977.559999999998</v>
      </c>
      <c r="E66" s="304">
        <f t="shared" ref="E66:I66" si="5">D66</f>
        <v>14977.559999999998</v>
      </c>
      <c r="F66" s="304">
        <f t="shared" si="5"/>
        <v>14977.559999999998</v>
      </c>
      <c r="G66" s="304">
        <f t="shared" si="5"/>
        <v>14977.559999999998</v>
      </c>
      <c r="H66" s="304">
        <f t="shared" si="5"/>
        <v>14977.559999999998</v>
      </c>
      <c r="I66" s="304">
        <f t="shared" si="5"/>
        <v>14977.559999999998</v>
      </c>
      <c r="J66" s="304"/>
      <c r="K66" s="304"/>
      <c r="L66" s="304"/>
      <c r="M66" s="305">
        <f t="shared" si="1"/>
        <v>104842.91999999998</v>
      </c>
    </row>
    <row r="67" spans="2:13" ht="13.8" customHeight="1" x14ac:dyDescent="0.3">
      <c r="B67" s="303" t="s">
        <v>197</v>
      </c>
      <c r="C67" s="304">
        <f>20000*0.015</f>
        <v>300</v>
      </c>
      <c r="D67" s="304">
        <f t="shared" ref="D67:L67" si="6">C67*$B$124</f>
        <v>306</v>
      </c>
      <c r="E67" s="304">
        <f t="shared" si="6"/>
        <v>312.12</v>
      </c>
      <c r="F67" s="304">
        <f t="shared" si="6"/>
        <v>318.36240000000004</v>
      </c>
      <c r="G67" s="304">
        <f t="shared" si="6"/>
        <v>324.72964800000005</v>
      </c>
      <c r="H67" s="304">
        <f t="shared" si="6"/>
        <v>331.22424096000009</v>
      </c>
      <c r="I67" s="304">
        <f t="shared" si="6"/>
        <v>337.84872577920009</v>
      </c>
      <c r="J67" s="304">
        <f t="shared" si="6"/>
        <v>344.60570029478413</v>
      </c>
      <c r="K67" s="304">
        <f t="shared" si="6"/>
        <v>351.49781430067981</v>
      </c>
      <c r="L67" s="304">
        <f t="shared" si="6"/>
        <v>358.52777058669341</v>
      </c>
      <c r="M67" s="305">
        <f t="shared" si="1"/>
        <v>3284.9162999213572</v>
      </c>
    </row>
    <row r="68" spans="2:13" ht="13.8" customHeight="1" x14ac:dyDescent="0.3">
      <c r="B68" s="303" t="s">
        <v>198</v>
      </c>
      <c r="C68" s="304">
        <v>100</v>
      </c>
      <c r="D68" s="304">
        <f t="shared" ref="D68:L68" si="7">C68*1.05</f>
        <v>105</v>
      </c>
      <c r="E68" s="304">
        <f t="shared" si="7"/>
        <v>110.25</v>
      </c>
      <c r="F68" s="304">
        <f t="shared" si="7"/>
        <v>115.7625</v>
      </c>
      <c r="G68" s="304">
        <f t="shared" si="7"/>
        <v>121.55062500000001</v>
      </c>
      <c r="H68" s="304">
        <f t="shared" si="7"/>
        <v>127.62815625000002</v>
      </c>
      <c r="I68" s="304">
        <f t="shared" si="7"/>
        <v>134.00956406250003</v>
      </c>
      <c r="J68" s="304">
        <f t="shared" si="7"/>
        <v>140.71004226562505</v>
      </c>
      <c r="K68" s="304">
        <f t="shared" si="7"/>
        <v>147.74554437890632</v>
      </c>
      <c r="L68" s="304">
        <f t="shared" si="7"/>
        <v>155.13282159785163</v>
      </c>
      <c r="M68" s="305">
        <f t="shared" si="1"/>
        <v>1257.7892535548831</v>
      </c>
    </row>
    <row r="69" spans="2:13" ht="13.8" customHeight="1" thickBot="1" x14ac:dyDescent="0.35">
      <c r="B69" s="306" t="s">
        <v>386</v>
      </c>
      <c r="C69" s="307">
        <v>600</v>
      </c>
      <c r="D69" s="307">
        <v>600</v>
      </c>
      <c r="E69" s="307">
        <v>600</v>
      </c>
      <c r="F69" s="307">
        <v>600</v>
      </c>
      <c r="G69" s="307">
        <v>600</v>
      </c>
      <c r="H69" s="307">
        <v>600</v>
      </c>
      <c r="I69" s="307">
        <v>600</v>
      </c>
      <c r="J69" s="307">
        <v>600</v>
      </c>
      <c r="K69" s="307">
        <v>600</v>
      </c>
      <c r="L69" s="307">
        <v>600</v>
      </c>
      <c r="M69" s="308">
        <f>SUM(C69:L69)</f>
        <v>6000</v>
      </c>
    </row>
    <row r="70" spans="2:13" ht="13.8" customHeight="1" x14ac:dyDescent="0.3">
      <c r="B70" s="149" t="s">
        <v>180</v>
      </c>
      <c r="C70" s="148">
        <f>C127*12</f>
        <v>4332.4427586206893</v>
      </c>
      <c r="D70" s="148">
        <f t="shared" ref="D70:I70" si="8">C70</f>
        <v>4332.4427586206893</v>
      </c>
      <c r="E70" s="148">
        <f t="shared" si="8"/>
        <v>4332.4427586206893</v>
      </c>
      <c r="F70" s="148">
        <f t="shared" si="8"/>
        <v>4332.4427586206893</v>
      </c>
      <c r="G70" s="148">
        <f t="shared" si="8"/>
        <v>4332.4427586206893</v>
      </c>
      <c r="H70" s="148">
        <f t="shared" si="8"/>
        <v>4332.4427586206893</v>
      </c>
      <c r="I70" s="148">
        <f t="shared" si="8"/>
        <v>4332.4427586206893</v>
      </c>
      <c r="J70" s="148"/>
      <c r="K70" s="148"/>
      <c r="L70" s="148"/>
      <c r="M70" s="147">
        <f t="shared" si="1"/>
        <v>30327.09931034482</v>
      </c>
    </row>
    <row r="71" spans="2:13" ht="13.8" customHeight="1" x14ac:dyDescent="0.3">
      <c r="B71" s="149" t="s">
        <v>461</v>
      </c>
      <c r="C71" s="148">
        <f>826.1*12</f>
        <v>9913.2000000000007</v>
      </c>
      <c r="D71" s="148">
        <f t="shared" ref="D71:H71" si="9">826.1*12</f>
        <v>9913.2000000000007</v>
      </c>
      <c r="E71" s="148">
        <f t="shared" si="9"/>
        <v>9913.2000000000007</v>
      </c>
      <c r="F71" s="148">
        <f t="shared" si="9"/>
        <v>9913.2000000000007</v>
      </c>
      <c r="G71" s="148">
        <f t="shared" si="9"/>
        <v>9913.2000000000007</v>
      </c>
      <c r="H71" s="148">
        <f t="shared" si="9"/>
        <v>9913.2000000000007</v>
      </c>
      <c r="I71" s="148"/>
      <c r="J71" s="148"/>
      <c r="K71" s="148"/>
      <c r="L71" s="148"/>
      <c r="M71" s="147">
        <f>SUM(C71:L71)</f>
        <v>59479.199999999997</v>
      </c>
    </row>
    <row r="72" spans="2:13" ht="13.8" customHeight="1" x14ac:dyDescent="0.3">
      <c r="B72" s="149" t="s">
        <v>520</v>
      </c>
      <c r="C72" s="148">
        <f>613*12</f>
        <v>7356</v>
      </c>
      <c r="D72" s="148">
        <f t="shared" ref="D72:I72" si="10">666.3*12</f>
        <v>7995.5999999999995</v>
      </c>
      <c r="E72" s="148">
        <f t="shared" si="10"/>
        <v>7995.5999999999995</v>
      </c>
      <c r="F72" s="148">
        <f t="shared" si="10"/>
        <v>7995.5999999999995</v>
      </c>
      <c r="G72" s="148">
        <f t="shared" si="10"/>
        <v>7995.5999999999995</v>
      </c>
      <c r="H72" s="148">
        <f t="shared" si="10"/>
        <v>7995.5999999999995</v>
      </c>
      <c r="I72" s="148">
        <f t="shared" si="10"/>
        <v>7995.5999999999995</v>
      </c>
      <c r="J72" s="148"/>
      <c r="K72" s="148"/>
      <c r="L72" s="148"/>
      <c r="M72" s="147">
        <f>SUM(C72:L72)</f>
        <v>55329.599999999991</v>
      </c>
    </row>
    <row r="73" spans="2:13" ht="13.8" customHeight="1" x14ac:dyDescent="0.3">
      <c r="B73" s="149" t="s">
        <v>199</v>
      </c>
      <c r="C73" s="148">
        <f>C9*52</f>
        <v>2600</v>
      </c>
      <c r="D73" s="148">
        <f t="shared" ref="D73:L73" si="11">C73*1.05</f>
        <v>2730</v>
      </c>
      <c r="E73" s="148">
        <f t="shared" si="11"/>
        <v>2866.5</v>
      </c>
      <c r="F73" s="148">
        <f t="shared" si="11"/>
        <v>3009.8250000000003</v>
      </c>
      <c r="G73" s="148">
        <f t="shared" si="11"/>
        <v>3160.3162500000003</v>
      </c>
      <c r="H73" s="148">
        <f t="shared" si="11"/>
        <v>3318.3320625000006</v>
      </c>
      <c r="I73" s="148">
        <f t="shared" si="11"/>
        <v>3484.2486656250007</v>
      </c>
      <c r="J73" s="148">
        <f t="shared" si="11"/>
        <v>3658.4610989062508</v>
      </c>
      <c r="K73" s="148">
        <f t="shared" si="11"/>
        <v>3841.3841538515635</v>
      </c>
      <c r="L73" s="148">
        <f t="shared" si="11"/>
        <v>4033.4533615441419</v>
      </c>
      <c r="M73" s="147">
        <f t="shared" si="1"/>
        <v>32702.520592426958</v>
      </c>
    </row>
    <row r="74" spans="2:13" ht="13.8" customHeight="1" x14ac:dyDescent="0.3">
      <c r="B74" s="149" t="s">
        <v>200</v>
      </c>
      <c r="C74" s="148">
        <v>300</v>
      </c>
      <c r="D74" s="148">
        <f>C74*1.1</f>
        <v>330</v>
      </c>
      <c r="E74" s="148">
        <f t="shared" ref="E74:L75" si="12">D74*1.1</f>
        <v>363.00000000000006</v>
      </c>
      <c r="F74" s="148">
        <f t="shared" si="12"/>
        <v>399.30000000000007</v>
      </c>
      <c r="G74" s="148">
        <f t="shared" si="12"/>
        <v>439.23000000000013</v>
      </c>
      <c r="H74" s="148">
        <f t="shared" si="12"/>
        <v>483.15300000000019</v>
      </c>
      <c r="I74" s="148">
        <f t="shared" si="12"/>
        <v>531.46830000000023</v>
      </c>
      <c r="J74" s="148">
        <f t="shared" si="12"/>
        <v>584.61513000000025</v>
      </c>
      <c r="K74" s="148">
        <f t="shared" si="12"/>
        <v>643.07664300000033</v>
      </c>
      <c r="L74" s="148">
        <f t="shared" si="12"/>
        <v>707.38430730000039</v>
      </c>
      <c r="M74" s="147">
        <f t="shared" si="1"/>
        <v>4781.2273803000016</v>
      </c>
    </row>
    <row r="75" spans="2:13" ht="13.8" customHeight="1" thickBot="1" x14ac:dyDescent="0.35">
      <c r="B75" s="146" t="s">
        <v>465</v>
      </c>
      <c r="C75" s="145">
        <v>450</v>
      </c>
      <c r="D75" s="145">
        <f>C75*1.1</f>
        <v>495.00000000000006</v>
      </c>
      <c r="E75" s="145">
        <f t="shared" si="12"/>
        <v>544.50000000000011</v>
      </c>
      <c r="F75" s="145">
        <f t="shared" si="12"/>
        <v>598.95000000000016</v>
      </c>
      <c r="G75" s="145">
        <f t="shared" si="12"/>
        <v>658.84500000000025</v>
      </c>
      <c r="H75" s="145">
        <f t="shared" si="12"/>
        <v>724.72950000000037</v>
      </c>
      <c r="I75" s="145">
        <f t="shared" si="12"/>
        <v>797.20245000000045</v>
      </c>
      <c r="J75" s="145">
        <f t="shared" si="12"/>
        <v>876.92269500000054</v>
      </c>
      <c r="K75" s="145">
        <f t="shared" si="12"/>
        <v>964.61496450000072</v>
      </c>
      <c r="L75" s="145">
        <f t="shared" si="12"/>
        <v>1061.0764609500009</v>
      </c>
      <c r="M75" s="144">
        <f>SUM(C75:L75)</f>
        <v>7171.8410704500029</v>
      </c>
    </row>
    <row r="76" spans="2:13" ht="13.8" customHeight="1" x14ac:dyDescent="0.3">
      <c r="B76" s="309" t="s">
        <v>179</v>
      </c>
      <c r="C76" s="301">
        <f t="shared" ref="C76:M76" si="13">C60+C$67+C$68</f>
        <v>4803.88</v>
      </c>
      <c r="D76" s="301">
        <f t="shared" si="13"/>
        <v>4814.88</v>
      </c>
      <c r="E76" s="301">
        <f t="shared" si="13"/>
        <v>4826.25</v>
      </c>
      <c r="F76" s="301">
        <f t="shared" si="13"/>
        <v>4838.0048999999999</v>
      </c>
      <c r="G76" s="301">
        <f t="shared" si="13"/>
        <v>4850.1602730000004</v>
      </c>
      <c r="H76" s="301">
        <f t="shared" si="13"/>
        <v>4862.7323972100003</v>
      </c>
      <c r="I76" s="301">
        <f t="shared" si="13"/>
        <v>4875.7382898417009</v>
      </c>
      <c r="J76" s="301">
        <f t="shared" si="13"/>
        <v>485.31574256040915</v>
      </c>
      <c r="K76" s="301">
        <f t="shared" si="13"/>
        <v>499.24335867958609</v>
      </c>
      <c r="L76" s="301">
        <f t="shared" si="13"/>
        <v>513.66059218454507</v>
      </c>
      <c r="M76" s="310">
        <f t="shared" si="13"/>
        <v>35369.865553476244</v>
      </c>
    </row>
    <row r="77" spans="2:13" ht="13.8" customHeight="1" x14ac:dyDescent="0.3">
      <c r="B77" s="311" t="s">
        <v>178</v>
      </c>
      <c r="C77" s="304">
        <f t="shared" ref="C77:M77" si="14">C61+C$67+C$68</f>
        <v>5177.24</v>
      </c>
      <c r="D77" s="304">
        <f t="shared" si="14"/>
        <v>5188.24</v>
      </c>
      <c r="E77" s="304">
        <f t="shared" si="14"/>
        <v>5199.6099999999997</v>
      </c>
      <c r="F77" s="304">
        <f t="shared" si="14"/>
        <v>5211.3648999999996</v>
      </c>
      <c r="G77" s="304">
        <f t="shared" si="14"/>
        <v>5223.5202730000001</v>
      </c>
      <c r="H77" s="304">
        <f t="shared" si="14"/>
        <v>5236.0923972099999</v>
      </c>
      <c r="I77" s="304">
        <f t="shared" si="14"/>
        <v>5249.0982898417005</v>
      </c>
      <c r="J77" s="304">
        <f t="shared" si="14"/>
        <v>485.31574256040915</v>
      </c>
      <c r="K77" s="304">
        <f t="shared" si="14"/>
        <v>499.24335867958609</v>
      </c>
      <c r="L77" s="304">
        <f t="shared" si="14"/>
        <v>513.66059218454507</v>
      </c>
      <c r="M77" s="312">
        <f t="shared" si="14"/>
        <v>37983.385553476233</v>
      </c>
    </row>
    <row r="78" spans="2:13" ht="13.8" customHeight="1" x14ac:dyDescent="0.3">
      <c r="B78" s="311" t="s">
        <v>177</v>
      </c>
      <c r="C78" s="304">
        <f t="shared" ref="C78:M78" si="15">C62+C$67+C$68</f>
        <v>6392.68</v>
      </c>
      <c r="D78" s="304">
        <f t="shared" si="15"/>
        <v>6403.68</v>
      </c>
      <c r="E78" s="304">
        <f t="shared" si="15"/>
        <v>6415.05</v>
      </c>
      <c r="F78" s="304">
        <f t="shared" si="15"/>
        <v>6426.8049000000001</v>
      </c>
      <c r="G78" s="304">
        <f t="shared" si="15"/>
        <v>6438.9602730000006</v>
      </c>
      <c r="H78" s="304">
        <f t="shared" si="15"/>
        <v>6451.5323972100005</v>
      </c>
      <c r="I78" s="304">
        <f t="shared" si="15"/>
        <v>6464.538289841701</v>
      </c>
      <c r="J78" s="304">
        <f t="shared" si="15"/>
        <v>485.31574256040915</v>
      </c>
      <c r="K78" s="304">
        <f t="shared" si="15"/>
        <v>499.24335867958609</v>
      </c>
      <c r="L78" s="304">
        <f t="shared" si="15"/>
        <v>513.66059218454507</v>
      </c>
      <c r="M78" s="312">
        <f t="shared" si="15"/>
        <v>46491.465553476242</v>
      </c>
    </row>
    <row r="79" spans="2:13" ht="13.8" customHeight="1" x14ac:dyDescent="0.3">
      <c r="B79" s="311" t="s">
        <v>176</v>
      </c>
      <c r="C79" s="304">
        <f t="shared" ref="C79:M79" si="16">C63+C$67+C$68</f>
        <v>5116.4800000000005</v>
      </c>
      <c r="D79" s="304">
        <f t="shared" si="16"/>
        <v>5127.4800000000005</v>
      </c>
      <c r="E79" s="304">
        <f t="shared" si="16"/>
        <v>5138.8500000000004</v>
      </c>
      <c r="F79" s="304">
        <f t="shared" si="16"/>
        <v>5150.6049000000003</v>
      </c>
      <c r="G79" s="304">
        <f t="shared" si="16"/>
        <v>5162.7602730000008</v>
      </c>
      <c r="H79" s="304">
        <f t="shared" si="16"/>
        <v>5175.3323972100006</v>
      </c>
      <c r="I79" s="304">
        <f t="shared" si="16"/>
        <v>5188.3382898417012</v>
      </c>
      <c r="J79" s="304">
        <f t="shared" si="16"/>
        <v>485.31574256040915</v>
      </c>
      <c r="K79" s="304">
        <f t="shared" si="16"/>
        <v>499.24335867958609</v>
      </c>
      <c r="L79" s="304">
        <f t="shared" si="16"/>
        <v>513.66059218454507</v>
      </c>
      <c r="M79" s="312">
        <f t="shared" si="16"/>
        <v>37558.065553476241</v>
      </c>
    </row>
    <row r="80" spans="2:13" ht="13.8" customHeight="1" x14ac:dyDescent="0.3">
      <c r="B80" s="311" t="s">
        <v>219</v>
      </c>
      <c r="C80" s="304">
        <f t="shared" ref="C80:M80" si="17">C64+C$67+C$68</f>
        <v>5968.16</v>
      </c>
      <c r="D80" s="304">
        <f t="shared" si="17"/>
        <v>5979.16</v>
      </c>
      <c r="E80" s="304">
        <f t="shared" si="17"/>
        <v>5990.53</v>
      </c>
      <c r="F80" s="304">
        <f t="shared" si="17"/>
        <v>6002.2848999999997</v>
      </c>
      <c r="G80" s="304">
        <f t="shared" si="17"/>
        <v>6014.4402730000002</v>
      </c>
      <c r="H80" s="304">
        <f t="shared" si="17"/>
        <v>6027.01239721</v>
      </c>
      <c r="I80" s="304">
        <f t="shared" si="17"/>
        <v>6040.0182898417006</v>
      </c>
      <c r="J80" s="304">
        <f t="shared" si="17"/>
        <v>485.31574256040915</v>
      </c>
      <c r="K80" s="304">
        <f t="shared" si="17"/>
        <v>499.24335867958609</v>
      </c>
      <c r="L80" s="304">
        <f t="shared" si="17"/>
        <v>513.66059218454507</v>
      </c>
      <c r="M80" s="312">
        <f t="shared" si="17"/>
        <v>43519.825553476236</v>
      </c>
    </row>
    <row r="81" spans="2:13" ht="13.8" customHeight="1" x14ac:dyDescent="0.3">
      <c r="B81" s="311" t="s">
        <v>175</v>
      </c>
      <c r="C81" s="304">
        <f t="shared" ref="C81:M81" si="18">C65+C$67+C$68</f>
        <v>7811.0400000000009</v>
      </c>
      <c r="D81" s="304">
        <f t="shared" si="18"/>
        <v>7822.0400000000009</v>
      </c>
      <c r="E81" s="304">
        <f t="shared" si="18"/>
        <v>7833.4100000000008</v>
      </c>
      <c r="F81" s="304">
        <f t="shared" si="18"/>
        <v>7845.1649000000007</v>
      </c>
      <c r="G81" s="304">
        <f t="shared" si="18"/>
        <v>7857.3202730000012</v>
      </c>
      <c r="H81" s="304">
        <f t="shared" si="18"/>
        <v>7869.892397210001</v>
      </c>
      <c r="I81" s="304">
        <f t="shared" si="18"/>
        <v>7882.8982898417016</v>
      </c>
      <c r="J81" s="304">
        <f t="shared" si="18"/>
        <v>485.31574256040915</v>
      </c>
      <c r="K81" s="304">
        <f t="shared" si="18"/>
        <v>499.24335867958609</v>
      </c>
      <c r="L81" s="304">
        <f t="shared" si="18"/>
        <v>513.66059218454507</v>
      </c>
      <c r="M81" s="312">
        <f t="shared" si="18"/>
        <v>56419.985553476246</v>
      </c>
    </row>
    <row r="82" spans="2:13" ht="13.8" customHeight="1" thickBot="1" x14ac:dyDescent="0.35">
      <c r="B82" s="313" t="s">
        <v>295</v>
      </c>
      <c r="C82" s="307">
        <f t="shared" ref="C82:M82" si="19">C66+C$67+C$69</f>
        <v>15877.559999999998</v>
      </c>
      <c r="D82" s="307">
        <f t="shared" si="19"/>
        <v>15883.559999999998</v>
      </c>
      <c r="E82" s="307">
        <f t="shared" si="19"/>
        <v>15889.679999999998</v>
      </c>
      <c r="F82" s="307">
        <f t="shared" si="19"/>
        <v>15895.922399999998</v>
      </c>
      <c r="G82" s="307">
        <f t="shared" si="19"/>
        <v>15902.289647999998</v>
      </c>
      <c r="H82" s="307">
        <f t="shared" si="19"/>
        <v>15908.784240959998</v>
      </c>
      <c r="I82" s="307">
        <f t="shared" si="19"/>
        <v>15915.408725779198</v>
      </c>
      <c r="J82" s="307">
        <f t="shared" si="19"/>
        <v>944.60570029478413</v>
      </c>
      <c r="K82" s="307">
        <f t="shared" si="19"/>
        <v>951.49781430067981</v>
      </c>
      <c r="L82" s="307">
        <f t="shared" si="19"/>
        <v>958.52777058669335</v>
      </c>
      <c r="M82" s="314">
        <f t="shared" si="19"/>
        <v>114127.83629992134</v>
      </c>
    </row>
    <row r="83" spans="2:13" ht="13.8" customHeight="1" x14ac:dyDescent="0.3">
      <c r="B83" s="141" t="s">
        <v>174</v>
      </c>
      <c r="C83" s="140">
        <f t="shared" ref="C83:M83" si="20">C70+C73+C74</f>
        <v>7232.4427586206893</v>
      </c>
      <c r="D83" s="140">
        <f t="shared" si="20"/>
        <v>7392.4427586206893</v>
      </c>
      <c r="E83" s="140">
        <f t="shared" si="20"/>
        <v>7561.9427586206893</v>
      </c>
      <c r="F83" s="140">
        <f t="shared" si="20"/>
        <v>7741.5677586206903</v>
      </c>
      <c r="G83" s="140">
        <f t="shared" si="20"/>
        <v>7931.9890086206897</v>
      </c>
      <c r="H83" s="140">
        <f t="shared" si="20"/>
        <v>8133.9278211206902</v>
      </c>
      <c r="I83" s="140">
        <f t="shared" si="20"/>
        <v>8348.1597242456901</v>
      </c>
      <c r="J83" s="140">
        <f t="shared" si="20"/>
        <v>4243.0762289062513</v>
      </c>
      <c r="K83" s="140">
        <f t="shared" si="20"/>
        <v>4484.4607968515638</v>
      </c>
      <c r="L83" s="140">
        <f t="shared" si="20"/>
        <v>4740.8376688441422</v>
      </c>
      <c r="M83" s="156">
        <f t="shared" si="20"/>
        <v>67810.84728307178</v>
      </c>
    </row>
    <row r="84" spans="2:13" ht="13.8" customHeight="1" x14ac:dyDescent="0.3">
      <c r="B84" s="328" t="s">
        <v>462</v>
      </c>
      <c r="C84" s="148">
        <f t="shared" ref="C84:M84" si="21">C71+C73+C75</f>
        <v>12963.2</v>
      </c>
      <c r="D84" s="148">
        <f t="shared" si="21"/>
        <v>13138.2</v>
      </c>
      <c r="E84" s="148">
        <f t="shared" si="21"/>
        <v>13324.2</v>
      </c>
      <c r="F84" s="148">
        <f t="shared" si="21"/>
        <v>13521.975000000002</v>
      </c>
      <c r="G84" s="148">
        <f t="shared" si="21"/>
        <v>13732.361250000002</v>
      </c>
      <c r="H84" s="148">
        <f t="shared" si="21"/>
        <v>13956.261562500003</v>
      </c>
      <c r="I84" s="148">
        <f t="shared" si="21"/>
        <v>4281.451115625001</v>
      </c>
      <c r="J84" s="148">
        <f t="shared" si="21"/>
        <v>4535.3837939062514</v>
      </c>
      <c r="K84" s="148">
        <f t="shared" si="21"/>
        <v>4805.999118351564</v>
      </c>
      <c r="L84" s="148">
        <f t="shared" si="21"/>
        <v>5094.5298224941425</v>
      </c>
      <c r="M84" s="286">
        <f t="shared" si="21"/>
        <v>99353.561662876949</v>
      </c>
    </row>
    <row r="85" spans="2:13" ht="13.8" customHeight="1" thickBot="1" x14ac:dyDescent="0.35">
      <c r="B85" s="328" t="s">
        <v>521</v>
      </c>
      <c r="C85" s="148">
        <f>C72+C73+C75</f>
        <v>10406</v>
      </c>
      <c r="D85" s="148">
        <f t="shared" ref="D85:L85" si="22">D72+D73+D75</f>
        <v>11220.599999999999</v>
      </c>
      <c r="E85" s="148">
        <f t="shared" si="22"/>
        <v>11406.599999999999</v>
      </c>
      <c r="F85" s="148">
        <f t="shared" si="22"/>
        <v>11604.375</v>
      </c>
      <c r="G85" s="148">
        <f t="shared" si="22"/>
        <v>11814.76125</v>
      </c>
      <c r="H85" s="148">
        <f t="shared" si="22"/>
        <v>12038.661562500001</v>
      </c>
      <c r="I85" s="148">
        <f t="shared" si="22"/>
        <v>12277.051115625001</v>
      </c>
      <c r="J85" s="148">
        <f t="shared" si="22"/>
        <v>4535.3837939062514</v>
      </c>
      <c r="K85" s="148">
        <f t="shared" si="22"/>
        <v>4805.999118351564</v>
      </c>
      <c r="L85" s="148">
        <f t="shared" si="22"/>
        <v>5094.5298224941425</v>
      </c>
      <c r="M85" s="286">
        <f>SUM(C85:L85)</f>
        <v>95203.961662876944</v>
      </c>
    </row>
    <row r="86" spans="2:13" ht="13.8" customHeight="1" x14ac:dyDescent="0.3">
      <c r="B86" s="309" t="s">
        <v>173</v>
      </c>
      <c r="C86" s="301">
        <f t="shared" ref="C86:C92" si="23">C76</f>
        <v>4803.88</v>
      </c>
      <c r="D86" s="301">
        <f t="shared" ref="D86:L86" si="24">D76+C86</f>
        <v>9618.76</v>
      </c>
      <c r="E86" s="301">
        <f t="shared" si="24"/>
        <v>14445.01</v>
      </c>
      <c r="F86" s="301">
        <f t="shared" si="24"/>
        <v>19283.014900000002</v>
      </c>
      <c r="G86" s="301">
        <f t="shared" si="24"/>
        <v>24133.175173000003</v>
      </c>
      <c r="H86" s="301">
        <f t="shared" si="24"/>
        <v>28995.907570210002</v>
      </c>
      <c r="I86" s="301">
        <f t="shared" si="24"/>
        <v>33871.6458600517</v>
      </c>
      <c r="J86" s="301">
        <f t="shared" si="24"/>
        <v>34356.961602612108</v>
      </c>
      <c r="K86" s="301">
        <f t="shared" si="24"/>
        <v>34856.204961291696</v>
      </c>
      <c r="L86" s="301">
        <f t="shared" si="24"/>
        <v>35369.865553476244</v>
      </c>
      <c r="M86" s="310">
        <f t="shared" ref="M86:M93" si="25">L86</f>
        <v>35369.865553476244</v>
      </c>
    </row>
    <row r="87" spans="2:13" ht="13.8" customHeight="1" x14ac:dyDescent="0.3">
      <c r="B87" s="311" t="s">
        <v>172</v>
      </c>
      <c r="C87" s="304">
        <f t="shared" si="23"/>
        <v>5177.24</v>
      </c>
      <c r="D87" s="304">
        <f t="shared" ref="D87:L87" si="26">D77+C87</f>
        <v>10365.48</v>
      </c>
      <c r="E87" s="304">
        <f t="shared" si="26"/>
        <v>15565.09</v>
      </c>
      <c r="F87" s="304">
        <f t="shared" si="26"/>
        <v>20776.454900000001</v>
      </c>
      <c r="G87" s="304">
        <f t="shared" si="26"/>
        <v>25999.975172999999</v>
      </c>
      <c r="H87" s="304">
        <f t="shared" si="26"/>
        <v>31236.067570209998</v>
      </c>
      <c r="I87" s="304">
        <f t="shared" si="26"/>
        <v>36485.165860051697</v>
      </c>
      <c r="J87" s="304">
        <f t="shared" si="26"/>
        <v>36970.481602612104</v>
      </c>
      <c r="K87" s="304">
        <f t="shared" si="26"/>
        <v>37469.724961291693</v>
      </c>
      <c r="L87" s="304">
        <f t="shared" si="26"/>
        <v>37983.385553476241</v>
      </c>
      <c r="M87" s="312">
        <f t="shared" si="25"/>
        <v>37983.385553476241</v>
      </c>
    </row>
    <row r="88" spans="2:13" ht="13.8" customHeight="1" x14ac:dyDescent="0.3">
      <c r="B88" s="311" t="s">
        <v>171</v>
      </c>
      <c r="C88" s="304">
        <f t="shared" si="23"/>
        <v>6392.68</v>
      </c>
      <c r="D88" s="304">
        <f t="shared" ref="D88:L88" si="27">D78+C88</f>
        <v>12796.36</v>
      </c>
      <c r="E88" s="304">
        <f t="shared" si="27"/>
        <v>19211.41</v>
      </c>
      <c r="F88" s="304">
        <f t="shared" si="27"/>
        <v>25638.214899999999</v>
      </c>
      <c r="G88" s="304">
        <f t="shared" si="27"/>
        <v>32077.175173</v>
      </c>
      <c r="H88" s="304">
        <f t="shared" si="27"/>
        <v>38528.707570209997</v>
      </c>
      <c r="I88" s="304">
        <f t="shared" si="27"/>
        <v>44993.245860051698</v>
      </c>
      <c r="J88" s="304">
        <f t="shared" si="27"/>
        <v>45478.561602612106</v>
      </c>
      <c r="K88" s="304">
        <f t="shared" si="27"/>
        <v>45977.804961291695</v>
      </c>
      <c r="L88" s="304">
        <f t="shared" si="27"/>
        <v>46491.465553476242</v>
      </c>
      <c r="M88" s="312">
        <f t="shared" si="25"/>
        <v>46491.465553476242</v>
      </c>
    </row>
    <row r="89" spans="2:13" ht="13.8" customHeight="1" x14ac:dyDescent="0.3">
      <c r="B89" s="311" t="s">
        <v>170</v>
      </c>
      <c r="C89" s="304">
        <f t="shared" si="23"/>
        <v>5116.4800000000005</v>
      </c>
      <c r="D89" s="304">
        <f t="shared" ref="D89:L89" si="28">D79+C89</f>
        <v>10243.960000000001</v>
      </c>
      <c r="E89" s="304">
        <f t="shared" si="28"/>
        <v>15382.810000000001</v>
      </c>
      <c r="F89" s="304">
        <f t="shared" si="28"/>
        <v>20533.414900000003</v>
      </c>
      <c r="G89" s="304">
        <f t="shared" si="28"/>
        <v>25696.175173000003</v>
      </c>
      <c r="H89" s="304">
        <f t="shared" si="28"/>
        <v>30871.507570210004</v>
      </c>
      <c r="I89" s="304">
        <f t="shared" si="28"/>
        <v>36059.845860051704</v>
      </c>
      <c r="J89" s="304">
        <f t="shared" si="28"/>
        <v>36545.161602612112</v>
      </c>
      <c r="K89" s="304">
        <f t="shared" si="28"/>
        <v>37044.404961291701</v>
      </c>
      <c r="L89" s="304">
        <f t="shared" si="28"/>
        <v>37558.065553476248</v>
      </c>
      <c r="M89" s="312">
        <f t="shared" si="25"/>
        <v>37558.065553476248</v>
      </c>
    </row>
    <row r="90" spans="2:13" ht="13.8" customHeight="1" x14ac:dyDescent="0.3">
      <c r="B90" s="311" t="s">
        <v>220</v>
      </c>
      <c r="C90" s="304">
        <f t="shared" si="23"/>
        <v>5968.16</v>
      </c>
      <c r="D90" s="304">
        <f>D80+C90</f>
        <v>11947.32</v>
      </c>
      <c r="E90" s="304">
        <f t="shared" ref="E90" si="29">E80+D90</f>
        <v>17937.849999999999</v>
      </c>
      <c r="F90" s="304">
        <f t="shared" ref="F90" si="30">F80+E90</f>
        <v>23940.134899999997</v>
      </c>
      <c r="G90" s="304">
        <f t="shared" ref="G90" si="31">G80+F90</f>
        <v>29954.575172999997</v>
      </c>
      <c r="H90" s="304">
        <f t="shared" ref="H90" si="32">H80+G90</f>
        <v>35981.587570209995</v>
      </c>
      <c r="I90" s="304">
        <f t="shared" ref="I90" si="33">I80+H90</f>
        <v>42021.605860051699</v>
      </c>
      <c r="J90" s="304">
        <f t="shared" ref="J90" si="34">J80+I90</f>
        <v>42506.921602612107</v>
      </c>
      <c r="K90" s="304">
        <f t="shared" ref="K90" si="35">K80+J90</f>
        <v>43006.164961291695</v>
      </c>
      <c r="L90" s="304">
        <f t="shared" ref="L90" si="36">L80+K90</f>
        <v>43519.825553476243</v>
      </c>
      <c r="M90" s="312">
        <f>L90</f>
        <v>43519.825553476243</v>
      </c>
    </row>
    <row r="91" spans="2:13" ht="13.8" customHeight="1" x14ac:dyDescent="0.3">
      <c r="B91" s="311" t="s">
        <v>169</v>
      </c>
      <c r="C91" s="304">
        <f t="shared" si="23"/>
        <v>7811.0400000000009</v>
      </c>
      <c r="D91" s="304">
        <f t="shared" ref="D91:L91" si="37">C91+D81</f>
        <v>15633.080000000002</v>
      </c>
      <c r="E91" s="304">
        <f t="shared" si="37"/>
        <v>23466.49</v>
      </c>
      <c r="F91" s="304">
        <f t="shared" si="37"/>
        <v>31311.654900000001</v>
      </c>
      <c r="G91" s="304">
        <f t="shared" si="37"/>
        <v>39168.975172999999</v>
      </c>
      <c r="H91" s="304">
        <f t="shared" si="37"/>
        <v>47038.867570210001</v>
      </c>
      <c r="I91" s="304">
        <f t="shared" si="37"/>
        <v>54921.765860051702</v>
      </c>
      <c r="J91" s="304">
        <f t="shared" si="37"/>
        <v>55407.08160261211</v>
      </c>
      <c r="K91" s="304">
        <f t="shared" si="37"/>
        <v>55906.324961291699</v>
      </c>
      <c r="L91" s="304">
        <f t="shared" si="37"/>
        <v>56419.985553476246</v>
      </c>
      <c r="M91" s="312">
        <f>L91</f>
        <v>56419.985553476246</v>
      </c>
    </row>
    <row r="92" spans="2:13" ht="13.8" customHeight="1" thickBot="1" x14ac:dyDescent="0.35">
      <c r="B92" s="313" t="s">
        <v>297</v>
      </c>
      <c r="C92" s="307">
        <f t="shared" si="23"/>
        <v>15877.559999999998</v>
      </c>
      <c r="D92" s="307">
        <f>D82+C92</f>
        <v>31761.119999999995</v>
      </c>
      <c r="E92" s="307">
        <f t="shared" ref="E92:L92" si="38">E82+D92</f>
        <v>47650.799999999996</v>
      </c>
      <c r="F92" s="307">
        <f t="shared" si="38"/>
        <v>63546.722399999991</v>
      </c>
      <c r="G92" s="307">
        <f t="shared" si="38"/>
        <v>79449.01204799999</v>
      </c>
      <c r="H92" s="307">
        <f t="shared" si="38"/>
        <v>95357.796288959988</v>
      </c>
      <c r="I92" s="307">
        <f t="shared" si="38"/>
        <v>111273.20501473919</v>
      </c>
      <c r="J92" s="307">
        <f t="shared" si="38"/>
        <v>112217.81071503396</v>
      </c>
      <c r="K92" s="307">
        <f t="shared" si="38"/>
        <v>113169.30852933464</v>
      </c>
      <c r="L92" s="307">
        <f t="shared" si="38"/>
        <v>114127.83629992133</v>
      </c>
      <c r="M92" s="312">
        <f>L92</f>
        <v>114127.83629992133</v>
      </c>
    </row>
    <row r="93" spans="2:13" ht="13.8" customHeight="1" x14ac:dyDescent="0.3">
      <c r="B93" s="141" t="s">
        <v>189</v>
      </c>
      <c r="C93" s="140">
        <f t="shared" ref="C93" si="39">C83</f>
        <v>7232.4427586206893</v>
      </c>
      <c r="D93" s="140">
        <f t="shared" ref="D93:L93" si="40">D83+C93</f>
        <v>14624.885517241379</v>
      </c>
      <c r="E93" s="140">
        <f t="shared" si="40"/>
        <v>22186.82827586207</v>
      </c>
      <c r="F93" s="140">
        <f t="shared" si="40"/>
        <v>29928.396034482761</v>
      </c>
      <c r="G93" s="140">
        <f t="shared" si="40"/>
        <v>37860.385043103452</v>
      </c>
      <c r="H93" s="140">
        <f t="shared" si="40"/>
        <v>45994.312864224143</v>
      </c>
      <c r="I93" s="140">
        <f t="shared" si="40"/>
        <v>54342.472588469835</v>
      </c>
      <c r="J93" s="140">
        <f t="shared" si="40"/>
        <v>58585.548817376082</v>
      </c>
      <c r="K93" s="140">
        <f t="shared" si="40"/>
        <v>63070.009614227645</v>
      </c>
      <c r="L93" s="140">
        <f t="shared" si="40"/>
        <v>67810.84728307178</v>
      </c>
      <c r="M93" s="156">
        <f t="shared" si="25"/>
        <v>67810.84728307178</v>
      </c>
    </row>
    <row r="94" spans="2:13" ht="13.8" customHeight="1" x14ac:dyDescent="0.3">
      <c r="B94" s="328" t="s">
        <v>463</v>
      </c>
      <c r="C94" s="148">
        <f>C84</f>
        <v>12963.2</v>
      </c>
      <c r="D94" s="148">
        <f>C94+D84</f>
        <v>26101.4</v>
      </c>
      <c r="E94" s="148">
        <f t="shared" ref="E94:L94" si="41">D94+E84</f>
        <v>39425.600000000006</v>
      </c>
      <c r="F94" s="148">
        <f t="shared" si="41"/>
        <v>52947.575000000012</v>
      </c>
      <c r="G94" s="148">
        <f t="shared" si="41"/>
        <v>66679.936250000013</v>
      </c>
      <c r="H94" s="148">
        <f t="shared" si="41"/>
        <v>80636.197812500017</v>
      </c>
      <c r="I94" s="148">
        <f t="shared" si="41"/>
        <v>84917.648928125011</v>
      </c>
      <c r="J94" s="148">
        <f t="shared" si="41"/>
        <v>89453.032722031261</v>
      </c>
      <c r="K94" s="148">
        <f t="shared" si="41"/>
        <v>94259.031840382828</v>
      </c>
      <c r="L94" s="148">
        <f t="shared" si="41"/>
        <v>99353.561662876964</v>
      </c>
      <c r="M94" s="286">
        <f>L94</f>
        <v>99353.561662876964</v>
      </c>
    </row>
    <row r="95" spans="2:13" ht="13.8" customHeight="1" thickBot="1" x14ac:dyDescent="0.35">
      <c r="B95" s="328" t="s">
        <v>516</v>
      </c>
      <c r="C95" s="148">
        <f>C85</f>
        <v>10406</v>
      </c>
      <c r="D95" s="148">
        <f>D85+C95</f>
        <v>21626.6</v>
      </c>
      <c r="E95" s="148">
        <f t="shared" ref="E95:L95" si="42">E85+D95</f>
        <v>33033.199999999997</v>
      </c>
      <c r="F95" s="148">
        <f t="shared" si="42"/>
        <v>44637.574999999997</v>
      </c>
      <c r="G95" s="148">
        <f t="shared" si="42"/>
        <v>56452.336249999993</v>
      </c>
      <c r="H95" s="148">
        <f t="shared" si="42"/>
        <v>68490.997812499991</v>
      </c>
      <c r="I95" s="148">
        <f t="shared" si="42"/>
        <v>80768.04892812499</v>
      </c>
      <c r="J95" s="148">
        <f t="shared" si="42"/>
        <v>85303.432722031241</v>
      </c>
      <c r="K95" s="148">
        <f t="shared" si="42"/>
        <v>90109.431840382807</v>
      </c>
      <c r="L95" s="148">
        <f t="shared" si="42"/>
        <v>95203.961662876944</v>
      </c>
      <c r="M95" s="286">
        <f>L95</f>
        <v>95203.961662876944</v>
      </c>
    </row>
    <row r="96" spans="2:13" ht="13.8" customHeight="1" x14ac:dyDescent="0.3">
      <c r="B96" s="309" t="s">
        <v>168</v>
      </c>
      <c r="C96" s="301">
        <f t="shared" ref="C96:L96" si="43">C76/12</f>
        <v>400.32333333333332</v>
      </c>
      <c r="D96" s="301">
        <f t="shared" si="43"/>
        <v>401.24</v>
      </c>
      <c r="E96" s="301">
        <f t="shared" si="43"/>
        <v>402.1875</v>
      </c>
      <c r="F96" s="301">
        <f t="shared" si="43"/>
        <v>403.16707500000001</v>
      </c>
      <c r="G96" s="301">
        <f t="shared" si="43"/>
        <v>404.18002275000003</v>
      </c>
      <c r="H96" s="301">
        <f t="shared" si="43"/>
        <v>405.22769976750004</v>
      </c>
      <c r="I96" s="301">
        <f t="shared" si="43"/>
        <v>406.31152415347509</v>
      </c>
      <c r="J96" s="301">
        <f t="shared" si="43"/>
        <v>40.442978546700765</v>
      </c>
      <c r="K96" s="301">
        <f t="shared" si="43"/>
        <v>41.603613223298844</v>
      </c>
      <c r="L96" s="301">
        <f t="shared" si="43"/>
        <v>42.805049348712089</v>
      </c>
      <c r="M96" s="310"/>
    </row>
    <row r="97" spans="2:13" ht="13.8" customHeight="1" x14ac:dyDescent="0.3">
      <c r="B97" s="311" t="s">
        <v>167</v>
      </c>
      <c r="C97" s="304">
        <f t="shared" ref="C97:L97" si="44">C77/12</f>
        <v>431.43666666666667</v>
      </c>
      <c r="D97" s="304">
        <f t="shared" si="44"/>
        <v>432.3533333333333</v>
      </c>
      <c r="E97" s="304">
        <f t="shared" si="44"/>
        <v>433.30083333333329</v>
      </c>
      <c r="F97" s="304">
        <f t="shared" si="44"/>
        <v>434.2804083333333</v>
      </c>
      <c r="G97" s="304">
        <f t="shared" si="44"/>
        <v>435.29335608333332</v>
      </c>
      <c r="H97" s="304">
        <f t="shared" si="44"/>
        <v>436.34103310083333</v>
      </c>
      <c r="I97" s="304">
        <f t="shared" si="44"/>
        <v>437.42485748680838</v>
      </c>
      <c r="J97" s="304">
        <f t="shared" si="44"/>
        <v>40.442978546700765</v>
      </c>
      <c r="K97" s="304">
        <f t="shared" si="44"/>
        <v>41.603613223298844</v>
      </c>
      <c r="L97" s="304">
        <f t="shared" si="44"/>
        <v>42.805049348712089</v>
      </c>
      <c r="M97" s="312"/>
    </row>
    <row r="98" spans="2:13" ht="13.8" customHeight="1" x14ac:dyDescent="0.3">
      <c r="B98" s="311" t="s">
        <v>190</v>
      </c>
      <c r="C98" s="304">
        <f t="shared" ref="C98:L98" si="45">C78/12</f>
        <v>532.72333333333336</v>
      </c>
      <c r="D98" s="304">
        <f t="shared" si="45"/>
        <v>533.64</v>
      </c>
      <c r="E98" s="304">
        <f t="shared" si="45"/>
        <v>534.58749999999998</v>
      </c>
      <c r="F98" s="304">
        <f t="shared" si="45"/>
        <v>535.56707500000005</v>
      </c>
      <c r="G98" s="304">
        <f t="shared" si="45"/>
        <v>536.58002275000001</v>
      </c>
      <c r="H98" s="304">
        <f t="shared" si="45"/>
        <v>537.62769976750008</v>
      </c>
      <c r="I98" s="304">
        <f t="shared" si="45"/>
        <v>538.71152415347512</v>
      </c>
      <c r="J98" s="304">
        <f t="shared" si="45"/>
        <v>40.442978546700765</v>
      </c>
      <c r="K98" s="304">
        <f t="shared" si="45"/>
        <v>41.603613223298844</v>
      </c>
      <c r="L98" s="304">
        <f t="shared" si="45"/>
        <v>42.805049348712089</v>
      </c>
      <c r="M98" s="312"/>
    </row>
    <row r="99" spans="2:13" ht="13.8" customHeight="1" x14ac:dyDescent="0.3">
      <c r="B99" s="311" t="s">
        <v>191</v>
      </c>
      <c r="C99" s="304">
        <f t="shared" ref="C99:L99" si="46">C79/12</f>
        <v>426.37333333333339</v>
      </c>
      <c r="D99" s="304">
        <f t="shared" si="46"/>
        <v>427.29</v>
      </c>
      <c r="E99" s="304">
        <f t="shared" si="46"/>
        <v>428.23750000000001</v>
      </c>
      <c r="F99" s="304">
        <f t="shared" si="46"/>
        <v>429.21707500000002</v>
      </c>
      <c r="G99" s="304">
        <f t="shared" si="46"/>
        <v>430.23002275000005</v>
      </c>
      <c r="H99" s="304">
        <f t="shared" si="46"/>
        <v>431.27769976750005</v>
      </c>
      <c r="I99" s="304">
        <f t="shared" si="46"/>
        <v>432.3615241534751</v>
      </c>
      <c r="J99" s="304">
        <f t="shared" si="46"/>
        <v>40.442978546700765</v>
      </c>
      <c r="K99" s="304">
        <f t="shared" si="46"/>
        <v>41.603613223298844</v>
      </c>
      <c r="L99" s="304">
        <f t="shared" si="46"/>
        <v>42.805049348712089</v>
      </c>
      <c r="M99" s="312"/>
    </row>
    <row r="100" spans="2:13" ht="13.8" customHeight="1" x14ac:dyDescent="0.3">
      <c r="B100" s="311" t="s">
        <v>221</v>
      </c>
      <c r="C100" s="304">
        <f t="shared" ref="C100:L100" si="47">C80/12</f>
        <v>497.34666666666664</v>
      </c>
      <c r="D100" s="304">
        <f t="shared" si="47"/>
        <v>498.26333333333332</v>
      </c>
      <c r="E100" s="304">
        <f t="shared" si="47"/>
        <v>499.21083333333331</v>
      </c>
      <c r="F100" s="304">
        <f t="shared" si="47"/>
        <v>500.19040833333332</v>
      </c>
      <c r="G100" s="304">
        <f t="shared" si="47"/>
        <v>501.20335608333335</v>
      </c>
      <c r="H100" s="304">
        <f t="shared" si="47"/>
        <v>502.25103310083335</v>
      </c>
      <c r="I100" s="304">
        <f t="shared" si="47"/>
        <v>503.3348574868084</v>
      </c>
      <c r="J100" s="304">
        <f t="shared" si="47"/>
        <v>40.442978546700765</v>
      </c>
      <c r="K100" s="304">
        <f t="shared" si="47"/>
        <v>41.603613223298844</v>
      </c>
      <c r="L100" s="304">
        <f t="shared" si="47"/>
        <v>42.805049348712089</v>
      </c>
      <c r="M100" s="312"/>
    </row>
    <row r="101" spans="2:13" ht="13.8" customHeight="1" x14ac:dyDescent="0.3">
      <c r="B101" s="311" t="s">
        <v>166</v>
      </c>
      <c r="C101" s="304">
        <f t="shared" ref="C101:L101" si="48">C81/12</f>
        <v>650.92000000000007</v>
      </c>
      <c r="D101" s="304">
        <f t="shared" si="48"/>
        <v>651.8366666666667</v>
      </c>
      <c r="E101" s="304">
        <f t="shared" si="48"/>
        <v>652.78416666666669</v>
      </c>
      <c r="F101" s="304">
        <f t="shared" si="48"/>
        <v>653.76374166666676</v>
      </c>
      <c r="G101" s="304">
        <f t="shared" si="48"/>
        <v>654.77668941666673</v>
      </c>
      <c r="H101" s="304">
        <f t="shared" si="48"/>
        <v>655.82436643416679</v>
      </c>
      <c r="I101" s="304">
        <f t="shared" si="48"/>
        <v>656.90819082014184</v>
      </c>
      <c r="J101" s="304">
        <f t="shared" si="48"/>
        <v>40.442978546700765</v>
      </c>
      <c r="K101" s="304">
        <f t="shared" si="48"/>
        <v>41.603613223298844</v>
      </c>
      <c r="L101" s="304">
        <f t="shared" si="48"/>
        <v>42.805049348712089</v>
      </c>
      <c r="M101" s="312"/>
    </row>
    <row r="102" spans="2:13" ht="13.8" customHeight="1" thickBot="1" x14ac:dyDescent="0.35">
      <c r="B102" s="313" t="s">
        <v>298</v>
      </c>
      <c r="C102" s="307">
        <f t="shared" ref="C102:L102" si="49">C82/12</f>
        <v>1323.1299999999999</v>
      </c>
      <c r="D102" s="307">
        <f t="shared" si="49"/>
        <v>1323.6299999999999</v>
      </c>
      <c r="E102" s="307">
        <f t="shared" si="49"/>
        <v>1324.1399999999999</v>
      </c>
      <c r="F102" s="307">
        <f t="shared" si="49"/>
        <v>1324.6601999999998</v>
      </c>
      <c r="G102" s="307">
        <f t="shared" si="49"/>
        <v>1325.1908039999998</v>
      </c>
      <c r="H102" s="307">
        <f t="shared" si="49"/>
        <v>1325.7320200799998</v>
      </c>
      <c r="I102" s="307">
        <f t="shared" si="49"/>
        <v>1326.2840604815999</v>
      </c>
      <c r="J102" s="307">
        <f t="shared" si="49"/>
        <v>78.717141691232015</v>
      </c>
      <c r="K102" s="307">
        <f t="shared" si="49"/>
        <v>79.291484525056646</v>
      </c>
      <c r="L102" s="307">
        <f t="shared" si="49"/>
        <v>79.877314215557774</v>
      </c>
      <c r="M102" s="314"/>
    </row>
    <row r="103" spans="2:13" ht="13.8" customHeight="1" x14ac:dyDescent="0.3">
      <c r="B103" s="141" t="s">
        <v>165</v>
      </c>
      <c r="C103" s="140">
        <f t="shared" ref="C103:L103" si="50">C83/12</f>
        <v>602.70356321839074</v>
      </c>
      <c r="D103" s="140">
        <f t="shared" si="50"/>
        <v>616.03689655172411</v>
      </c>
      <c r="E103" s="140">
        <f t="shared" si="50"/>
        <v>630.16189655172411</v>
      </c>
      <c r="F103" s="140">
        <f t="shared" si="50"/>
        <v>645.13064655172423</v>
      </c>
      <c r="G103" s="140">
        <f t="shared" si="50"/>
        <v>660.99908405172414</v>
      </c>
      <c r="H103" s="140">
        <f t="shared" si="50"/>
        <v>677.82731842672422</v>
      </c>
      <c r="I103" s="140">
        <f t="shared" si="50"/>
        <v>695.67997702047421</v>
      </c>
      <c r="J103" s="140">
        <f t="shared" si="50"/>
        <v>353.58968574218761</v>
      </c>
      <c r="K103" s="140">
        <f t="shared" si="50"/>
        <v>373.70506640429699</v>
      </c>
      <c r="L103" s="140">
        <f t="shared" si="50"/>
        <v>395.06980573701185</v>
      </c>
      <c r="M103" s="156"/>
    </row>
    <row r="104" spans="2:13" ht="13.8" customHeight="1" x14ac:dyDescent="0.3">
      <c r="B104" s="328" t="s">
        <v>464</v>
      </c>
      <c r="C104" s="148">
        <f>C84/12</f>
        <v>1080.2666666666667</v>
      </c>
      <c r="D104" s="148">
        <f t="shared" ref="D104:L104" si="51">D84/12</f>
        <v>1094.8500000000001</v>
      </c>
      <c r="E104" s="148">
        <f t="shared" si="51"/>
        <v>1110.3500000000001</v>
      </c>
      <c r="F104" s="148">
        <f t="shared" si="51"/>
        <v>1126.8312500000002</v>
      </c>
      <c r="G104" s="148">
        <f t="shared" si="51"/>
        <v>1144.3634375000001</v>
      </c>
      <c r="H104" s="148">
        <f t="shared" si="51"/>
        <v>1163.0217968750003</v>
      </c>
      <c r="I104" s="148">
        <f t="shared" si="51"/>
        <v>356.78759296875006</v>
      </c>
      <c r="J104" s="148">
        <f t="shared" si="51"/>
        <v>377.9486494921876</v>
      </c>
      <c r="K104" s="148">
        <f t="shared" si="51"/>
        <v>400.499926529297</v>
      </c>
      <c r="L104" s="148">
        <f t="shared" si="51"/>
        <v>424.5441518745119</v>
      </c>
      <c r="M104" s="286"/>
    </row>
    <row r="105" spans="2:13" ht="13.8" customHeight="1" thickBot="1" x14ac:dyDescent="0.35">
      <c r="B105" s="328" t="s">
        <v>517</v>
      </c>
      <c r="C105" s="148">
        <f>C85/12</f>
        <v>867.16666666666663</v>
      </c>
      <c r="D105" s="148">
        <f t="shared" ref="D105:L105" si="52">D85/12</f>
        <v>935.04999999999984</v>
      </c>
      <c r="E105" s="148">
        <f t="shared" si="52"/>
        <v>950.54999999999984</v>
      </c>
      <c r="F105" s="148">
        <f t="shared" si="52"/>
        <v>967.03125</v>
      </c>
      <c r="G105" s="148">
        <f t="shared" si="52"/>
        <v>984.56343749999996</v>
      </c>
      <c r="H105" s="148">
        <f t="shared" si="52"/>
        <v>1003.2217968750001</v>
      </c>
      <c r="I105" s="148">
        <f t="shared" si="52"/>
        <v>1023.0875929687501</v>
      </c>
      <c r="J105" s="148">
        <f t="shared" si="52"/>
        <v>377.9486494921876</v>
      </c>
      <c r="K105" s="148">
        <f t="shared" si="52"/>
        <v>400.499926529297</v>
      </c>
      <c r="L105" s="148">
        <f t="shared" si="52"/>
        <v>424.5441518745119</v>
      </c>
      <c r="M105" s="286"/>
    </row>
    <row r="106" spans="2:13" ht="13.8" customHeight="1" thickTop="1" x14ac:dyDescent="0.3">
      <c r="B106" s="309" t="s">
        <v>303</v>
      </c>
      <c r="C106" s="301">
        <f t="shared" ref="C106:L106" si="53">C$103-C96</f>
        <v>202.38022988505742</v>
      </c>
      <c r="D106" s="301">
        <f t="shared" si="53"/>
        <v>214.7968965517241</v>
      </c>
      <c r="E106" s="301">
        <f t="shared" si="53"/>
        <v>227.97439655172411</v>
      </c>
      <c r="F106" s="301">
        <f t="shared" si="53"/>
        <v>241.96357155172421</v>
      </c>
      <c r="G106" s="301">
        <f t="shared" si="53"/>
        <v>256.8190613017241</v>
      </c>
      <c r="H106" s="301">
        <f t="shared" si="53"/>
        <v>272.59961865922418</v>
      </c>
      <c r="I106" s="301">
        <f t="shared" si="53"/>
        <v>289.36845286699912</v>
      </c>
      <c r="J106" s="301">
        <f t="shared" si="53"/>
        <v>313.14670719548684</v>
      </c>
      <c r="K106" s="301">
        <f t="shared" si="53"/>
        <v>332.10145318099813</v>
      </c>
      <c r="L106" s="301">
        <f t="shared" si="53"/>
        <v>352.26475638829976</v>
      </c>
      <c r="M106" s="315">
        <f t="shared" ref="M106:M112" si="54">M$83-M76</f>
        <v>32440.981729595536</v>
      </c>
    </row>
    <row r="107" spans="2:13" ht="13.8" customHeight="1" x14ac:dyDescent="0.3">
      <c r="B107" s="311" t="s">
        <v>302</v>
      </c>
      <c r="C107" s="304">
        <f t="shared" ref="C107:L107" si="55">C$103-C97</f>
        <v>171.26689655172407</v>
      </c>
      <c r="D107" s="304">
        <f t="shared" si="55"/>
        <v>183.68356321839082</v>
      </c>
      <c r="E107" s="304">
        <f t="shared" si="55"/>
        <v>196.86106321839083</v>
      </c>
      <c r="F107" s="304">
        <f t="shared" si="55"/>
        <v>210.85023821839093</v>
      </c>
      <c r="G107" s="304">
        <f t="shared" si="55"/>
        <v>225.70572796839082</v>
      </c>
      <c r="H107" s="304">
        <f t="shared" si="55"/>
        <v>241.48628532589089</v>
      </c>
      <c r="I107" s="304">
        <f t="shared" si="55"/>
        <v>258.25511953366583</v>
      </c>
      <c r="J107" s="304">
        <f t="shared" si="55"/>
        <v>313.14670719548684</v>
      </c>
      <c r="K107" s="304">
        <f t="shared" si="55"/>
        <v>332.10145318099813</v>
      </c>
      <c r="L107" s="304">
        <f t="shared" si="55"/>
        <v>352.26475638829976</v>
      </c>
      <c r="M107" s="316">
        <f t="shared" si="54"/>
        <v>29827.461729595547</v>
      </c>
    </row>
    <row r="108" spans="2:13" ht="13.8" customHeight="1" x14ac:dyDescent="0.3">
      <c r="B108" s="311" t="s">
        <v>301</v>
      </c>
      <c r="C108" s="304">
        <f t="shared" ref="C108:L108" si="56">C$103-C98</f>
        <v>69.980229885057383</v>
      </c>
      <c r="D108" s="304">
        <f t="shared" si="56"/>
        <v>82.396896551724126</v>
      </c>
      <c r="E108" s="304">
        <f t="shared" si="56"/>
        <v>95.574396551724135</v>
      </c>
      <c r="F108" s="304">
        <f t="shared" si="56"/>
        <v>109.56357155172418</v>
      </c>
      <c r="G108" s="304">
        <f t="shared" si="56"/>
        <v>124.41906130172413</v>
      </c>
      <c r="H108" s="304">
        <f t="shared" si="56"/>
        <v>140.19961865922414</v>
      </c>
      <c r="I108" s="304">
        <f t="shared" si="56"/>
        <v>156.96845286699909</v>
      </c>
      <c r="J108" s="304">
        <f t="shared" si="56"/>
        <v>313.14670719548684</v>
      </c>
      <c r="K108" s="304">
        <f t="shared" si="56"/>
        <v>332.10145318099813</v>
      </c>
      <c r="L108" s="304">
        <f t="shared" si="56"/>
        <v>352.26475638829976</v>
      </c>
      <c r="M108" s="316">
        <f t="shared" si="54"/>
        <v>21319.381729595538</v>
      </c>
    </row>
    <row r="109" spans="2:13" ht="13.8" customHeight="1" x14ac:dyDescent="0.3">
      <c r="B109" s="311" t="s">
        <v>300</v>
      </c>
      <c r="C109" s="304">
        <f t="shared" ref="C109:L109" si="57">C$103-C99</f>
        <v>176.33022988505735</v>
      </c>
      <c r="D109" s="304">
        <f t="shared" si="57"/>
        <v>188.74689655172409</v>
      </c>
      <c r="E109" s="304">
        <f t="shared" si="57"/>
        <v>201.9243965517241</v>
      </c>
      <c r="F109" s="304">
        <f t="shared" si="57"/>
        <v>215.9135715517242</v>
      </c>
      <c r="G109" s="304">
        <f t="shared" si="57"/>
        <v>230.76906130172409</v>
      </c>
      <c r="H109" s="304">
        <f t="shared" si="57"/>
        <v>246.54961865922417</v>
      </c>
      <c r="I109" s="304">
        <f t="shared" si="57"/>
        <v>263.31845286699911</v>
      </c>
      <c r="J109" s="304">
        <f t="shared" si="57"/>
        <v>313.14670719548684</v>
      </c>
      <c r="K109" s="304">
        <f t="shared" si="57"/>
        <v>332.10145318099813</v>
      </c>
      <c r="L109" s="304">
        <f t="shared" si="57"/>
        <v>352.26475638829976</v>
      </c>
      <c r="M109" s="316">
        <f t="shared" si="54"/>
        <v>30252.781729595539</v>
      </c>
    </row>
    <row r="110" spans="2:13" ht="13.8" customHeight="1" x14ac:dyDescent="0.3">
      <c r="B110" s="311" t="s">
        <v>299</v>
      </c>
      <c r="C110" s="304">
        <f t="shared" ref="C110:L110" si="58">C$103-C100</f>
        <v>105.35689655172411</v>
      </c>
      <c r="D110" s="304">
        <f t="shared" si="58"/>
        <v>117.77356321839079</v>
      </c>
      <c r="E110" s="304">
        <f t="shared" si="58"/>
        <v>130.9510632183908</v>
      </c>
      <c r="F110" s="304">
        <f t="shared" si="58"/>
        <v>144.9402382183909</v>
      </c>
      <c r="G110" s="304">
        <f t="shared" si="58"/>
        <v>159.79572796839079</v>
      </c>
      <c r="H110" s="304">
        <f t="shared" si="58"/>
        <v>175.57628532589086</v>
      </c>
      <c r="I110" s="304">
        <f t="shared" si="58"/>
        <v>192.34511953366581</v>
      </c>
      <c r="J110" s="304">
        <f t="shared" si="58"/>
        <v>313.14670719548684</v>
      </c>
      <c r="K110" s="304">
        <f t="shared" si="58"/>
        <v>332.10145318099813</v>
      </c>
      <c r="L110" s="304">
        <f t="shared" si="58"/>
        <v>352.26475638829976</v>
      </c>
      <c r="M110" s="316">
        <f t="shared" si="54"/>
        <v>24291.021729595544</v>
      </c>
    </row>
    <row r="111" spans="2:13" ht="13.8" customHeight="1" x14ac:dyDescent="0.3">
      <c r="B111" s="311" t="s">
        <v>304</v>
      </c>
      <c r="C111" s="304">
        <f t="shared" ref="C111:L112" si="59">C$103-C101</f>
        <v>-48.216436781609332</v>
      </c>
      <c r="D111" s="304">
        <f t="shared" si="59"/>
        <v>-35.799770114942589</v>
      </c>
      <c r="E111" s="304">
        <f t="shared" si="59"/>
        <v>-22.62227011494258</v>
      </c>
      <c r="F111" s="304">
        <f t="shared" si="59"/>
        <v>-8.6330951149425346</v>
      </c>
      <c r="G111" s="304">
        <f t="shared" si="59"/>
        <v>6.2223946350574124</v>
      </c>
      <c r="H111" s="304">
        <f t="shared" si="59"/>
        <v>22.002951992557428</v>
      </c>
      <c r="I111" s="304">
        <f t="shared" si="59"/>
        <v>38.771786200332372</v>
      </c>
      <c r="J111" s="304">
        <f t="shared" si="59"/>
        <v>313.14670719548684</v>
      </c>
      <c r="K111" s="304">
        <f t="shared" si="59"/>
        <v>332.10145318099813</v>
      </c>
      <c r="L111" s="304">
        <f t="shared" si="59"/>
        <v>352.26475638829976</v>
      </c>
      <c r="M111" s="316">
        <f t="shared" si="54"/>
        <v>11390.861729595534</v>
      </c>
    </row>
    <row r="112" spans="2:13" ht="13.8" customHeight="1" x14ac:dyDescent="0.3">
      <c r="B112" s="311" t="s">
        <v>460</v>
      </c>
      <c r="C112" s="304">
        <f t="shared" si="59"/>
        <v>-720.42643678160914</v>
      </c>
      <c r="D112" s="304">
        <f t="shared" si="59"/>
        <v>-707.59310344827577</v>
      </c>
      <c r="E112" s="304">
        <f t="shared" si="59"/>
        <v>-693.97810344827576</v>
      </c>
      <c r="F112" s="304">
        <f t="shared" si="59"/>
        <v>-679.52955344827558</v>
      </c>
      <c r="G112" s="304">
        <f t="shared" si="59"/>
        <v>-664.1917199482757</v>
      </c>
      <c r="H112" s="304">
        <f t="shared" si="59"/>
        <v>-647.90470165327554</v>
      </c>
      <c r="I112" s="304">
        <f t="shared" si="59"/>
        <v>-630.6040834611257</v>
      </c>
      <c r="J112" s="304">
        <f t="shared" si="59"/>
        <v>274.87254405095558</v>
      </c>
      <c r="K112" s="304">
        <f t="shared" si="59"/>
        <v>294.41358187924033</v>
      </c>
      <c r="L112" s="304">
        <f t="shared" si="59"/>
        <v>315.19249152145409</v>
      </c>
      <c r="M112" s="316">
        <f t="shared" si="54"/>
        <v>-46316.989016849562</v>
      </c>
    </row>
    <row r="113" spans="2:13" ht="13.8" customHeight="1" x14ac:dyDescent="0.3">
      <c r="B113" s="311" t="s">
        <v>519</v>
      </c>
      <c r="C113" s="304">
        <f>C105-C101</f>
        <v>216.24666666666656</v>
      </c>
      <c r="D113" s="304">
        <f t="shared" ref="D113:L113" si="60">D105-D101</f>
        <v>283.21333333333314</v>
      </c>
      <c r="E113" s="304">
        <f t="shared" si="60"/>
        <v>297.76583333333315</v>
      </c>
      <c r="F113" s="304">
        <f t="shared" si="60"/>
        <v>313.26750833333324</v>
      </c>
      <c r="G113" s="304">
        <f t="shared" si="60"/>
        <v>329.78674808333324</v>
      </c>
      <c r="H113" s="304">
        <f t="shared" si="60"/>
        <v>347.39743044083332</v>
      </c>
      <c r="I113" s="304">
        <f t="shared" si="60"/>
        <v>366.17940214860823</v>
      </c>
      <c r="J113" s="304">
        <f t="shared" si="60"/>
        <v>337.50567094548683</v>
      </c>
      <c r="K113" s="304">
        <f t="shared" si="60"/>
        <v>358.89631330599815</v>
      </c>
      <c r="L113" s="304">
        <f t="shared" si="60"/>
        <v>381.73910252579981</v>
      </c>
      <c r="M113" s="316">
        <f>M95-M91</f>
        <v>38783.976109400697</v>
      </c>
    </row>
    <row r="114" spans="2:13" ht="13.8" customHeight="1" thickBot="1" x14ac:dyDescent="0.35">
      <c r="B114" s="313" t="s">
        <v>466</v>
      </c>
      <c r="C114" s="307">
        <f>C104-C102</f>
        <v>-242.86333333333323</v>
      </c>
      <c r="D114" s="307">
        <f t="shared" ref="D114:L114" si="61">D104-D102</f>
        <v>-228.77999999999975</v>
      </c>
      <c r="E114" s="307">
        <f t="shared" si="61"/>
        <v>-213.78999999999974</v>
      </c>
      <c r="F114" s="307">
        <f t="shared" si="61"/>
        <v>-197.82894999999962</v>
      </c>
      <c r="G114" s="307">
        <f t="shared" si="61"/>
        <v>-180.8273664999997</v>
      </c>
      <c r="H114" s="307">
        <f t="shared" si="61"/>
        <v>-162.71022320499947</v>
      </c>
      <c r="I114" s="307">
        <f t="shared" si="61"/>
        <v>-969.4964675128499</v>
      </c>
      <c r="J114" s="307">
        <f t="shared" si="61"/>
        <v>299.23150780095557</v>
      </c>
      <c r="K114" s="307">
        <f t="shared" si="61"/>
        <v>321.20844200424034</v>
      </c>
      <c r="L114" s="307">
        <f t="shared" si="61"/>
        <v>344.66683765895414</v>
      </c>
      <c r="M114" s="317">
        <f>M84-M82</f>
        <v>-14774.274637044393</v>
      </c>
    </row>
    <row r="115" spans="2:13" ht="21" customHeight="1" x14ac:dyDescent="0.35">
      <c r="B115" s="327" t="s">
        <v>222</v>
      </c>
      <c r="C115" s="329" t="s">
        <v>223</v>
      </c>
      <c r="D115" s="330"/>
      <c r="E115" s="330"/>
      <c r="F115" s="330"/>
      <c r="G115" s="330"/>
      <c r="H115" s="330"/>
      <c r="I115" s="330"/>
      <c r="J115" s="330"/>
      <c r="K115" s="330"/>
      <c r="L115" s="1"/>
    </row>
    <row r="116" spans="2:13" ht="18" customHeight="1" x14ac:dyDescent="0.4">
      <c r="B116" s="151" t="s">
        <v>503</v>
      </c>
      <c r="C116" s="329"/>
      <c r="D116" s="330"/>
      <c r="E116" s="330"/>
      <c r="F116" s="330"/>
      <c r="G116" s="330"/>
      <c r="H116" s="330"/>
      <c r="I116" s="330"/>
      <c r="J116" s="330"/>
      <c r="K116" s="330"/>
      <c r="L116" s="1"/>
    </row>
    <row r="117" spans="2:13" ht="38.4" customHeight="1" x14ac:dyDescent="0.85">
      <c r="B117" s="326" t="s">
        <v>34</v>
      </c>
      <c r="C117" s="331"/>
      <c r="D117" s="331"/>
      <c r="E117" s="331"/>
      <c r="F117" s="331"/>
      <c r="G117" s="331"/>
      <c r="H117" s="331"/>
      <c r="I117" s="331"/>
      <c r="J117" s="331"/>
      <c r="K117" s="331"/>
      <c r="L117" s="184"/>
      <c r="M117" s="185" t="s">
        <v>207</v>
      </c>
    </row>
    <row r="118" spans="2:13" ht="18" x14ac:dyDescent="0.35">
      <c r="B118" s="178" t="s">
        <v>35</v>
      </c>
      <c r="C118" s="13" t="s">
        <v>225</v>
      </c>
      <c r="D118" s="13"/>
      <c r="E118" s="13"/>
      <c r="F118" s="13"/>
      <c r="G118" s="13"/>
      <c r="H118" s="13"/>
      <c r="I118" s="13"/>
      <c r="J118" s="13"/>
      <c r="K118" s="13"/>
      <c r="L118" s="184"/>
      <c r="M118" s="186" t="s">
        <v>224</v>
      </c>
    </row>
    <row r="119" spans="2:13" ht="18" x14ac:dyDescent="0.35">
      <c r="B119" s="178" t="s">
        <v>33</v>
      </c>
      <c r="D119" s="13"/>
      <c r="E119" s="13"/>
      <c r="F119" s="13"/>
      <c r="H119" s="13"/>
      <c r="I119" s="13"/>
      <c r="J119" s="13"/>
      <c r="K119" s="13"/>
      <c r="L119" s="176"/>
      <c r="M119" s="187" t="s">
        <v>474</v>
      </c>
    </row>
    <row r="120" spans="2:13" ht="18" x14ac:dyDescent="0.35">
      <c r="B120" s="55"/>
      <c r="L120" s="14"/>
      <c r="M120" s="40"/>
    </row>
    <row r="121" spans="2:13" x14ac:dyDescent="0.3">
      <c r="B121" s="152" t="s">
        <v>7</v>
      </c>
      <c r="C121" s="152"/>
      <c r="D121" s="152"/>
      <c r="E121" s="152"/>
      <c r="F121" s="152"/>
      <c r="G121" s="152"/>
      <c r="H121" s="152"/>
      <c r="I121" s="152"/>
      <c r="J121" s="152"/>
    </row>
    <row r="122" spans="2:13" x14ac:dyDescent="0.3">
      <c r="B122" s="152" t="s">
        <v>23</v>
      </c>
      <c r="C122" s="152">
        <v>1.02</v>
      </c>
      <c r="D122" s="152" t="s">
        <v>3</v>
      </c>
      <c r="E122" s="152" t="s">
        <v>1</v>
      </c>
      <c r="F122" s="152"/>
      <c r="G122" s="152"/>
      <c r="H122" s="152"/>
      <c r="I122" s="152"/>
      <c r="J122" s="152"/>
    </row>
    <row r="123" spans="2:13" x14ac:dyDescent="0.3">
      <c r="B123" s="152" t="s">
        <v>24</v>
      </c>
      <c r="C123" s="152">
        <v>1.05</v>
      </c>
      <c r="D123" s="152" t="s">
        <v>8</v>
      </c>
      <c r="E123" s="152"/>
      <c r="F123" s="152"/>
      <c r="G123" s="152"/>
      <c r="H123" s="152"/>
      <c r="I123" s="152"/>
      <c r="J123" s="152"/>
    </row>
    <row r="124" spans="2:13" x14ac:dyDescent="0.3">
      <c r="B124" s="152">
        <f>C122</f>
        <v>1.02</v>
      </c>
      <c r="C124" s="153" t="s">
        <v>3</v>
      </c>
      <c r="D124" s="152"/>
      <c r="E124" s="152"/>
      <c r="F124" s="152"/>
      <c r="G124" s="152"/>
      <c r="H124" s="152"/>
      <c r="I124" s="152"/>
      <c r="J124" s="152"/>
    </row>
    <row r="125" spans="2:13" x14ac:dyDescent="0.3">
      <c r="B125" s="152"/>
      <c r="C125" s="152"/>
      <c r="D125" s="152"/>
      <c r="E125" s="152"/>
      <c r="F125" s="152"/>
      <c r="G125" s="152"/>
      <c r="H125" s="152"/>
      <c r="I125" s="152"/>
      <c r="J125" s="152"/>
    </row>
    <row r="126" spans="2:13" x14ac:dyDescent="0.3">
      <c r="B126" s="152">
        <v>14500</v>
      </c>
      <c r="C126" s="152">
        <v>243.49</v>
      </c>
      <c r="D126" s="152"/>
      <c r="E126" s="152"/>
      <c r="F126" s="152"/>
      <c r="G126" s="152"/>
      <c r="H126" s="152"/>
      <c r="I126" s="152"/>
      <c r="J126" s="152"/>
    </row>
    <row r="127" spans="2:13" x14ac:dyDescent="0.3">
      <c r="B127" s="152">
        <f>C8</f>
        <v>21500</v>
      </c>
      <c r="C127" s="152">
        <f>B127*C126/B126</f>
        <v>361.03689655172411</v>
      </c>
      <c r="D127" s="152"/>
      <c r="E127" s="152"/>
      <c r="F127" s="152"/>
      <c r="G127" s="152"/>
      <c r="H127" s="152"/>
      <c r="I127" s="152"/>
      <c r="J127" s="152"/>
    </row>
    <row r="128" spans="2:13" x14ac:dyDescent="0.3">
      <c r="B128" s="152"/>
      <c r="C128" s="152"/>
      <c r="D128" s="152"/>
      <c r="E128" s="152"/>
      <c r="F128" s="152"/>
      <c r="G128" s="152"/>
      <c r="H128" s="152"/>
      <c r="I128" s="152"/>
      <c r="J128" s="152"/>
    </row>
    <row r="129" spans="2:10" x14ac:dyDescent="0.3">
      <c r="B129" s="152"/>
      <c r="C129" s="152"/>
      <c r="D129" s="152"/>
      <c r="E129" s="152"/>
      <c r="F129" s="152"/>
      <c r="G129" s="152"/>
      <c r="H129" s="152"/>
      <c r="I129" s="152"/>
      <c r="J129" s="152"/>
    </row>
    <row r="252" spans="2:12" x14ac:dyDescent="0.3">
      <c r="B252" s="76">
        <f>$C$83-C76</f>
        <v>2428.5627586206892</v>
      </c>
      <c r="C252" s="76">
        <f t="shared" ref="C252:L252" si="62">$C$83-D76</f>
        <v>2417.5627586206892</v>
      </c>
      <c r="D252" s="76">
        <f t="shared" si="62"/>
        <v>2406.1927586206893</v>
      </c>
      <c r="E252" s="76">
        <f t="shared" si="62"/>
        <v>2394.4378586206894</v>
      </c>
      <c r="F252" s="76">
        <f t="shared" si="62"/>
        <v>2382.2824856206889</v>
      </c>
      <c r="G252" s="76">
        <f t="shared" si="62"/>
        <v>2369.7103614106891</v>
      </c>
      <c r="H252" s="76">
        <f t="shared" si="62"/>
        <v>2356.7044687789885</v>
      </c>
      <c r="I252" s="76">
        <f t="shared" si="62"/>
        <v>6747.1270160602799</v>
      </c>
      <c r="J252" s="76">
        <f t="shared" si="62"/>
        <v>6733.1993999411034</v>
      </c>
      <c r="K252" s="76">
        <f t="shared" si="62"/>
        <v>6718.7821664361445</v>
      </c>
      <c r="L252" s="76">
        <f t="shared" si="62"/>
        <v>-28137.422794855556</v>
      </c>
    </row>
    <row r="253" spans="2:12" x14ac:dyDescent="0.3">
      <c r="B253" s="76">
        <f t="shared" ref="B253:L257" si="63">$C$83-C77</f>
        <v>2055.2027586206896</v>
      </c>
      <c r="C253" s="76">
        <f t="shared" si="63"/>
        <v>2044.2027586206896</v>
      </c>
      <c r="D253" s="76">
        <f t="shared" si="63"/>
        <v>2032.8327586206897</v>
      </c>
      <c r="E253" s="76">
        <f t="shared" si="63"/>
        <v>2021.0778586206898</v>
      </c>
      <c r="F253" s="76">
        <f t="shared" si="63"/>
        <v>2008.9224856206893</v>
      </c>
      <c r="G253" s="76">
        <f t="shared" si="63"/>
        <v>1996.3503614106894</v>
      </c>
      <c r="H253" s="76">
        <f t="shared" si="63"/>
        <v>1983.3444687789888</v>
      </c>
      <c r="I253" s="76">
        <f t="shared" si="63"/>
        <v>6747.1270160602799</v>
      </c>
      <c r="J253" s="76">
        <f t="shared" si="63"/>
        <v>6733.1993999411034</v>
      </c>
      <c r="K253" s="76">
        <f t="shared" si="63"/>
        <v>6718.7821664361445</v>
      </c>
      <c r="L253" s="76">
        <f t="shared" si="63"/>
        <v>-30750.942794855546</v>
      </c>
    </row>
    <row r="254" spans="2:12" x14ac:dyDescent="0.3">
      <c r="B254" s="76">
        <f t="shared" si="63"/>
        <v>839.76275862068906</v>
      </c>
      <c r="C254" s="76">
        <f t="shared" si="63"/>
        <v>828.76275862068906</v>
      </c>
      <c r="D254" s="76">
        <f t="shared" si="63"/>
        <v>817.39275862068916</v>
      </c>
      <c r="E254" s="76">
        <f t="shared" si="63"/>
        <v>805.63785862068926</v>
      </c>
      <c r="F254" s="76">
        <f t="shared" si="63"/>
        <v>793.48248562068875</v>
      </c>
      <c r="G254" s="76">
        <f t="shared" si="63"/>
        <v>780.91036141068889</v>
      </c>
      <c r="H254" s="76">
        <f t="shared" si="63"/>
        <v>767.9044687789883</v>
      </c>
      <c r="I254" s="76">
        <f t="shared" si="63"/>
        <v>6747.1270160602799</v>
      </c>
      <c r="J254" s="76">
        <f t="shared" si="63"/>
        <v>6733.1993999411034</v>
      </c>
      <c r="K254" s="76">
        <f t="shared" si="63"/>
        <v>6718.7821664361445</v>
      </c>
      <c r="L254" s="76">
        <f t="shared" si="63"/>
        <v>-39259.022794855555</v>
      </c>
    </row>
    <row r="255" spans="2:12" x14ac:dyDescent="0.3">
      <c r="B255" s="76">
        <f t="shared" si="63"/>
        <v>2115.9627586206889</v>
      </c>
      <c r="C255" s="76">
        <f t="shared" si="63"/>
        <v>2104.9627586206889</v>
      </c>
      <c r="D255" s="76">
        <f t="shared" si="63"/>
        <v>2093.592758620689</v>
      </c>
      <c r="E255" s="76">
        <f t="shared" si="63"/>
        <v>2081.8378586206891</v>
      </c>
      <c r="F255" s="76">
        <f t="shared" si="63"/>
        <v>2069.6824856206886</v>
      </c>
      <c r="G255" s="76">
        <f t="shared" si="63"/>
        <v>2057.1103614106887</v>
      </c>
      <c r="H255" s="76">
        <f t="shared" si="63"/>
        <v>2044.1044687789881</v>
      </c>
      <c r="I255" s="76">
        <f t="shared" si="63"/>
        <v>6747.1270160602799</v>
      </c>
      <c r="J255" s="76">
        <f t="shared" si="63"/>
        <v>6733.1993999411034</v>
      </c>
      <c r="K255" s="76">
        <f t="shared" si="63"/>
        <v>6718.7821664361445</v>
      </c>
      <c r="L255" s="76">
        <f t="shared" si="63"/>
        <v>-30325.622794855553</v>
      </c>
    </row>
    <row r="256" spans="2:12" x14ac:dyDescent="0.3">
      <c r="B256" s="76">
        <f t="shared" si="63"/>
        <v>1264.2827586206895</v>
      </c>
      <c r="C256" s="76">
        <f t="shared" si="63"/>
        <v>1253.2827586206895</v>
      </c>
      <c r="D256" s="76">
        <f t="shared" si="63"/>
        <v>1241.9127586206896</v>
      </c>
      <c r="E256" s="76">
        <f t="shared" si="63"/>
        <v>1230.1578586206897</v>
      </c>
      <c r="F256" s="76">
        <f t="shared" si="63"/>
        <v>1218.0024856206892</v>
      </c>
      <c r="G256" s="76">
        <f t="shared" si="63"/>
        <v>1205.4303614106893</v>
      </c>
      <c r="H256" s="76">
        <f t="shared" si="63"/>
        <v>1192.4244687789887</v>
      </c>
      <c r="I256" s="76">
        <f t="shared" si="63"/>
        <v>6747.1270160602799</v>
      </c>
      <c r="J256" s="76">
        <f t="shared" si="63"/>
        <v>6733.1993999411034</v>
      </c>
      <c r="K256" s="76">
        <f t="shared" si="63"/>
        <v>6718.7821664361445</v>
      </c>
      <c r="L256" s="76">
        <f t="shared" si="63"/>
        <v>-36287.382794855548</v>
      </c>
    </row>
    <row r="257" spans="2:12" x14ac:dyDescent="0.3">
      <c r="B257" s="76">
        <f t="shared" si="63"/>
        <v>-578.59724137931153</v>
      </c>
      <c r="C257" s="76">
        <f t="shared" si="63"/>
        <v>-589.59724137931153</v>
      </c>
      <c r="D257" s="76">
        <f t="shared" si="63"/>
        <v>-600.96724137931142</v>
      </c>
      <c r="E257" s="76">
        <f t="shared" si="63"/>
        <v>-612.72214137931132</v>
      </c>
      <c r="F257" s="76">
        <f t="shared" si="63"/>
        <v>-624.87751437931183</v>
      </c>
      <c r="G257" s="76">
        <f t="shared" si="63"/>
        <v>-637.44963858931169</v>
      </c>
      <c r="H257" s="76">
        <f t="shared" si="63"/>
        <v>-650.45553122101228</v>
      </c>
      <c r="I257" s="76">
        <f t="shared" si="63"/>
        <v>6747.1270160602799</v>
      </c>
      <c r="J257" s="76">
        <f t="shared" si="63"/>
        <v>6733.1993999411034</v>
      </c>
      <c r="K257" s="76">
        <f t="shared" si="63"/>
        <v>6718.7821664361445</v>
      </c>
      <c r="L257" s="76">
        <f t="shared" si="63"/>
        <v>-49187.542794855559</v>
      </c>
    </row>
  </sheetData>
  <mergeCells count="2">
    <mergeCell ref="C115:K117"/>
    <mergeCell ref="B2:M2"/>
  </mergeCells>
  <hyperlinks>
    <hyperlink ref="B119" r:id="rId1"/>
    <hyperlink ref="B117" r:id="rId2"/>
    <hyperlink ref="B118" r:id="rId3"/>
    <hyperlink ref="L8" r:id="rId4"/>
    <hyperlink ref="B115" r:id="rId5" display="philjans@gmail.com"/>
    <hyperlink ref="M119" r:id="rId6" display="http://goo.gl/zAvyBS"/>
  </hyperlinks>
  <pageMargins left="0" right="0" top="0" bottom="0" header="0" footer="0"/>
  <pageSetup scale="65" orientation="landscape" r:id="rId7"/>
  <rowBreaks count="1" manualBreakCount="1">
    <brk id="58" max="16383" man="1"/>
  </rowBreaks>
  <ignoredErrors>
    <ignoredError sqref="D70:I70 D91:L91" formula="1"/>
  </ignoredErrors>
  <drawing r:id="rId8"/>
  <legacy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view="pageBreakPreview" zoomScale="60" zoomScaleNormal="70" workbookViewId="0">
      <selection activeCell="P23" sqref="P23"/>
    </sheetView>
  </sheetViews>
  <sheetFormatPr baseColWidth="10" defaultRowHeight="14.4" x14ac:dyDescent="0.3"/>
  <cols>
    <col min="1" max="1" width="2.6640625" customWidth="1"/>
    <col min="2" max="2" width="49.44140625" customWidth="1"/>
    <col min="3" max="9" width="13.33203125" customWidth="1"/>
    <col min="10" max="12" width="12.21875" bestFit="1" customWidth="1"/>
    <col min="13" max="13" width="15.21875" customWidth="1"/>
  </cols>
  <sheetData>
    <row r="1" spans="1:12" ht="8.25" customHeight="1" x14ac:dyDescent="0.3">
      <c r="A1" t="s">
        <v>163</v>
      </c>
    </row>
    <row r="2" spans="1:12" ht="24" customHeight="1" x14ac:dyDescent="0.4">
      <c r="B2" s="151" t="s">
        <v>211</v>
      </c>
    </row>
    <row r="3" spans="1:12" ht="24" customHeight="1" x14ac:dyDescent="0.4">
      <c r="B3" s="151" t="s">
        <v>209</v>
      </c>
    </row>
    <row r="4" spans="1:12" ht="24" customHeight="1" x14ac:dyDescent="0.4">
      <c r="B4" s="151" t="s">
        <v>214</v>
      </c>
    </row>
    <row r="5" spans="1:12" ht="24" customHeight="1" x14ac:dyDescent="0.6">
      <c r="B5" s="150" t="s">
        <v>188</v>
      </c>
      <c r="C5" s="175">
        <v>21500</v>
      </c>
      <c r="D5" t="s">
        <v>186</v>
      </c>
      <c r="L5" s="180" t="s">
        <v>212</v>
      </c>
    </row>
    <row r="6" spans="1:12" ht="24" customHeight="1" x14ac:dyDescent="0.3">
      <c r="B6" s="107" t="s">
        <v>187</v>
      </c>
      <c r="C6" s="175">
        <v>50</v>
      </c>
      <c r="D6" t="s">
        <v>186</v>
      </c>
    </row>
    <row r="34" spans="3:12" x14ac:dyDescent="0.3">
      <c r="C34" s="15"/>
      <c r="D34" s="15"/>
      <c r="E34" s="15"/>
      <c r="F34" s="15"/>
      <c r="G34" s="15"/>
      <c r="H34" s="15"/>
      <c r="I34" s="15"/>
      <c r="J34" s="15"/>
      <c r="K34" s="15"/>
      <c r="L34" s="15"/>
    </row>
    <row r="35" spans="3:12" x14ac:dyDescent="0.3">
      <c r="C35" s="15"/>
      <c r="D35" s="15"/>
      <c r="E35" s="15"/>
      <c r="F35" s="15"/>
      <c r="G35" s="15"/>
      <c r="H35" s="15"/>
      <c r="I35" s="15"/>
      <c r="J35" s="15"/>
      <c r="K35" s="15"/>
      <c r="L35" s="15"/>
    </row>
    <row r="36" spans="3:12" x14ac:dyDescent="0.3">
      <c r="C36" s="15"/>
      <c r="D36" s="15"/>
      <c r="E36" s="15"/>
      <c r="F36" s="15"/>
      <c r="G36" s="15"/>
      <c r="H36" s="15"/>
      <c r="I36" s="15"/>
      <c r="J36" s="15"/>
      <c r="K36" s="15"/>
      <c r="L36" s="15"/>
    </row>
    <row r="37" spans="3:12" x14ac:dyDescent="0.3">
      <c r="C37" s="15"/>
      <c r="D37" s="15"/>
      <c r="E37" s="15"/>
      <c r="F37" s="15"/>
      <c r="G37" s="15"/>
      <c r="H37" s="15"/>
      <c r="I37" s="15"/>
      <c r="J37" s="15"/>
      <c r="K37" s="15"/>
      <c r="L37" s="15"/>
    </row>
    <row r="38" spans="3:12" x14ac:dyDescent="0.3">
      <c r="C38" s="15"/>
      <c r="D38" s="15"/>
      <c r="E38" s="15"/>
      <c r="F38" s="15"/>
      <c r="G38" s="15"/>
      <c r="H38" s="15"/>
      <c r="I38" s="15"/>
      <c r="J38" s="15"/>
      <c r="K38" s="15"/>
      <c r="L38" s="15"/>
    </row>
    <row r="39" spans="3:12" x14ac:dyDescent="0.3">
      <c r="C39" s="15"/>
      <c r="D39" s="15"/>
      <c r="E39" s="15"/>
      <c r="F39" s="15"/>
      <c r="G39" s="15"/>
      <c r="H39" s="15"/>
      <c r="I39" s="15"/>
      <c r="J39" s="15"/>
      <c r="K39" s="15"/>
      <c r="L39" s="15"/>
    </row>
    <row r="40" spans="3:12" x14ac:dyDescent="0.3">
      <c r="C40" s="15"/>
      <c r="D40" s="15"/>
      <c r="E40" s="15"/>
      <c r="F40" s="15"/>
      <c r="G40" s="15"/>
      <c r="H40" s="15"/>
      <c r="I40" s="15"/>
      <c r="J40" s="15"/>
      <c r="K40" s="15"/>
      <c r="L40" s="15"/>
    </row>
    <row r="41" spans="3:12" x14ac:dyDescent="0.3">
      <c r="C41" s="15"/>
      <c r="D41" s="15"/>
      <c r="E41" s="15"/>
      <c r="F41" s="15"/>
      <c r="G41" s="15"/>
      <c r="H41" s="15"/>
      <c r="I41" s="15"/>
      <c r="J41" s="15"/>
      <c r="K41" s="15"/>
      <c r="L41" s="15"/>
    </row>
    <row r="42" spans="3:12" x14ac:dyDescent="0.3">
      <c r="C42" s="15"/>
      <c r="D42" s="15"/>
      <c r="E42" s="15"/>
      <c r="F42" s="15"/>
      <c r="G42" s="15"/>
      <c r="H42" s="15"/>
      <c r="I42" s="15"/>
      <c r="J42" s="15"/>
      <c r="K42" s="15"/>
      <c r="L42" s="15"/>
    </row>
    <row r="43" spans="3:12" x14ac:dyDescent="0.3">
      <c r="C43" s="15"/>
      <c r="D43" s="15"/>
      <c r="E43" s="15"/>
      <c r="F43" s="15"/>
      <c r="G43" s="15"/>
      <c r="H43" s="15"/>
      <c r="I43" s="15"/>
      <c r="J43" s="15"/>
      <c r="K43" s="15"/>
      <c r="L43" s="15"/>
    </row>
    <row r="44" spans="3:12" x14ac:dyDescent="0.3">
      <c r="C44" s="15"/>
      <c r="D44" s="15"/>
      <c r="E44" s="15"/>
      <c r="F44" s="15"/>
      <c r="G44" s="15"/>
      <c r="H44" s="15"/>
      <c r="I44" s="15"/>
      <c r="J44" s="15"/>
      <c r="K44" s="15"/>
      <c r="L44" s="15"/>
    </row>
    <row r="45" spans="3:12" x14ac:dyDescent="0.3">
      <c r="C45" s="15"/>
      <c r="D45" s="15"/>
      <c r="E45" s="15"/>
      <c r="F45" s="15"/>
      <c r="G45" s="15"/>
      <c r="H45" s="15"/>
      <c r="I45" s="15"/>
      <c r="J45" s="15"/>
      <c r="K45" s="15"/>
      <c r="L45" s="15"/>
    </row>
    <row r="46" spans="3:12" x14ac:dyDescent="0.3">
      <c r="C46" s="15"/>
      <c r="D46" s="15"/>
      <c r="E46" s="15"/>
      <c r="F46" s="15"/>
      <c r="G46" s="15"/>
      <c r="H46" s="15"/>
      <c r="I46" s="15"/>
      <c r="J46" s="15"/>
      <c r="K46" s="15"/>
      <c r="L46" s="15"/>
    </row>
    <row r="47" spans="3:12" x14ac:dyDescent="0.3">
      <c r="C47" s="15"/>
      <c r="D47" s="15"/>
      <c r="E47" s="15"/>
      <c r="F47" s="15"/>
      <c r="G47" s="15"/>
      <c r="H47" s="15"/>
      <c r="I47" s="15"/>
      <c r="J47" s="15"/>
      <c r="K47" s="15"/>
      <c r="L47" s="15"/>
    </row>
    <row r="48" spans="3:12" x14ac:dyDescent="0.3">
      <c r="C48" s="15"/>
      <c r="D48" s="15"/>
      <c r="E48" s="15"/>
      <c r="F48" s="15"/>
      <c r="G48" s="15"/>
      <c r="H48" s="15"/>
      <c r="I48" s="15"/>
      <c r="J48" s="15"/>
      <c r="K48" s="15"/>
      <c r="L48" s="15"/>
    </row>
    <row r="49" spans="2:13" x14ac:dyDescent="0.3">
      <c r="C49" s="15"/>
      <c r="D49" s="15"/>
      <c r="E49" s="15"/>
      <c r="F49" s="15"/>
      <c r="G49" s="15"/>
      <c r="H49" s="15"/>
      <c r="I49" s="15"/>
      <c r="J49" s="15"/>
      <c r="K49" s="15"/>
      <c r="L49" s="15"/>
    </row>
    <row r="50" spans="2:13" x14ac:dyDescent="0.3">
      <c r="C50" s="15"/>
      <c r="D50" s="15"/>
      <c r="E50" s="15"/>
      <c r="F50" s="15"/>
      <c r="G50" s="15"/>
      <c r="H50" s="15"/>
      <c r="I50" s="15"/>
      <c r="J50" s="15"/>
      <c r="K50" s="15"/>
      <c r="L50" s="15"/>
    </row>
    <row r="51" spans="2:13" x14ac:dyDescent="0.3">
      <c r="C51" s="15"/>
      <c r="D51" s="15"/>
      <c r="E51" s="15"/>
      <c r="F51" s="15"/>
      <c r="G51" s="15"/>
      <c r="H51" s="15"/>
      <c r="I51" s="15"/>
      <c r="J51" s="15"/>
      <c r="K51" s="15"/>
      <c r="L51" s="15"/>
    </row>
    <row r="52" spans="2:13" x14ac:dyDescent="0.3">
      <c r="C52" s="15"/>
      <c r="D52" s="15"/>
      <c r="E52" s="15"/>
      <c r="F52" s="15"/>
      <c r="G52" s="15"/>
      <c r="H52" s="15"/>
      <c r="I52" s="15"/>
      <c r="J52" s="15"/>
      <c r="K52" s="15"/>
      <c r="L52" s="15"/>
    </row>
    <row r="53" spans="2:13" x14ac:dyDescent="0.3">
      <c r="C53" s="15"/>
      <c r="D53" s="15"/>
      <c r="E53" s="15"/>
      <c r="F53" s="15"/>
      <c r="G53" s="15"/>
      <c r="H53" s="15"/>
      <c r="I53" s="15"/>
      <c r="J53" s="15"/>
      <c r="K53" s="15"/>
      <c r="L53" s="15"/>
    </row>
    <row r="54" spans="2:13" x14ac:dyDescent="0.3">
      <c r="C54" s="15"/>
      <c r="D54" s="15"/>
      <c r="E54" s="15"/>
      <c r="F54" s="15"/>
      <c r="G54" s="15"/>
      <c r="H54" s="15"/>
      <c r="I54" s="15"/>
      <c r="J54" s="15"/>
      <c r="K54" s="15"/>
      <c r="L54" s="15"/>
    </row>
    <row r="55" spans="2:13" x14ac:dyDescent="0.3">
      <c r="C55" s="15"/>
      <c r="D55" s="15"/>
      <c r="E55" s="15"/>
      <c r="F55" s="15"/>
      <c r="G55" s="15"/>
      <c r="H55" s="15"/>
      <c r="I55" s="15"/>
      <c r="J55" s="15"/>
      <c r="K55" s="15"/>
      <c r="L55" s="15"/>
    </row>
    <row r="56" spans="2:13" x14ac:dyDescent="0.3">
      <c r="C56" s="15"/>
      <c r="D56" s="15"/>
      <c r="E56" s="15"/>
      <c r="F56" s="15"/>
      <c r="G56" s="15"/>
      <c r="H56" s="15"/>
      <c r="I56" s="15"/>
      <c r="J56" s="15"/>
      <c r="K56" s="15"/>
      <c r="L56" s="15"/>
    </row>
    <row r="57" spans="2:13" x14ac:dyDescent="0.3">
      <c r="C57" s="15"/>
      <c r="D57" s="15"/>
      <c r="E57" s="15"/>
      <c r="F57" s="15"/>
      <c r="G57" s="15"/>
      <c r="H57" s="15"/>
      <c r="I57" s="15"/>
      <c r="J57" s="15"/>
      <c r="K57" s="15"/>
      <c r="L57" s="15"/>
    </row>
    <row r="58" spans="2:13" ht="15" thickBot="1" x14ac:dyDescent="0.35">
      <c r="C58" s="15" t="s">
        <v>11</v>
      </c>
      <c r="D58" s="15" t="s">
        <v>12</v>
      </c>
      <c r="E58" s="15" t="s">
        <v>13</v>
      </c>
      <c r="F58" s="15" t="s">
        <v>14</v>
      </c>
      <c r="G58" s="15" t="s">
        <v>15</v>
      </c>
      <c r="H58" s="15" t="s">
        <v>16</v>
      </c>
      <c r="I58" s="15" t="s">
        <v>17</v>
      </c>
      <c r="J58" s="15" t="s">
        <v>18</v>
      </c>
      <c r="K58" s="15" t="s">
        <v>19</v>
      </c>
      <c r="L58" s="15" t="s">
        <v>20</v>
      </c>
      <c r="M58" s="15" t="s">
        <v>0</v>
      </c>
    </row>
    <row r="59" spans="2:13" x14ac:dyDescent="0.3">
      <c r="B59" s="157" t="s">
        <v>185</v>
      </c>
      <c r="C59" s="158">
        <f>26929*1.15</f>
        <v>30968.35</v>
      </c>
      <c r="D59" s="158"/>
      <c r="E59" s="158"/>
      <c r="F59" s="158"/>
      <c r="G59" s="158"/>
      <c r="H59" s="158"/>
      <c r="I59" s="158"/>
      <c r="J59" s="158"/>
      <c r="K59" s="158"/>
      <c r="L59" s="158"/>
      <c r="M59" s="159">
        <f t="shared" ref="M59:M68" si="0">SUM(C59:L59)</f>
        <v>30968.35</v>
      </c>
    </row>
    <row r="60" spans="2:13" x14ac:dyDescent="0.3">
      <c r="B60" s="160" t="s">
        <v>184</v>
      </c>
      <c r="C60" s="161">
        <f>24500*1.15</f>
        <v>28174.999999999996</v>
      </c>
      <c r="D60" s="161"/>
      <c r="E60" s="161"/>
      <c r="F60" s="161"/>
      <c r="G60" s="161"/>
      <c r="H60" s="161"/>
      <c r="I60" s="161"/>
      <c r="J60" s="161"/>
      <c r="K60" s="161"/>
      <c r="L60" s="161"/>
      <c r="M60" s="162">
        <f t="shared" si="0"/>
        <v>28174.999999999996</v>
      </c>
    </row>
    <row r="61" spans="2:13" x14ac:dyDescent="0.3">
      <c r="B61" s="160" t="s">
        <v>183</v>
      </c>
      <c r="C61" s="161"/>
      <c r="D61" s="161"/>
      <c r="E61" s="161"/>
      <c r="F61" s="161"/>
      <c r="G61" s="161"/>
      <c r="H61" s="161"/>
      <c r="I61" s="161"/>
      <c r="J61" s="161"/>
      <c r="K61" s="161"/>
      <c r="L61" s="161"/>
      <c r="M61" s="162">
        <f t="shared" si="0"/>
        <v>0</v>
      </c>
    </row>
    <row r="62" spans="2:13" x14ac:dyDescent="0.3">
      <c r="B62" s="160" t="s">
        <v>182</v>
      </c>
      <c r="C62" s="161">
        <f>21000*1.15</f>
        <v>24149.999999999996</v>
      </c>
      <c r="D62" s="161"/>
      <c r="E62" s="161"/>
      <c r="F62" s="161"/>
      <c r="G62" s="161"/>
      <c r="H62" s="161"/>
      <c r="I62" s="161"/>
      <c r="J62" s="161"/>
      <c r="K62" s="161"/>
      <c r="L62" s="161"/>
      <c r="M62" s="162">
        <f t="shared" si="0"/>
        <v>24149.999999999996</v>
      </c>
    </row>
    <row r="63" spans="2:13" x14ac:dyDescent="0.3">
      <c r="B63" s="160" t="s">
        <v>181</v>
      </c>
      <c r="C63" s="161">
        <f>(44500+1900-8000)*1.15</f>
        <v>44160</v>
      </c>
      <c r="D63" s="161"/>
      <c r="E63" s="161"/>
      <c r="F63" s="161"/>
      <c r="G63" s="161"/>
      <c r="H63" s="161"/>
      <c r="I63" s="161"/>
      <c r="J63" s="161"/>
      <c r="K63" s="161"/>
      <c r="L63" s="161"/>
      <c r="M63" s="162">
        <f t="shared" si="0"/>
        <v>44160</v>
      </c>
    </row>
    <row r="64" spans="2:13" x14ac:dyDescent="0.3">
      <c r="B64" s="160" t="s">
        <v>197</v>
      </c>
      <c r="C64" s="161">
        <f>20000*0.01</f>
        <v>200</v>
      </c>
      <c r="D64" s="161">
        <f t="shared" ref="D64:L64" si="1">C64*$B$101</f>
        <v>204</v>
      </c>
      <c r="E64" s="161">
        <f t="shared" si="1"/>
        <v>208.08</v>
      </c>
      <c r="F64" s="161">
        <f t="shared" si="1"/>
        <v>212.24160000000001</v>
      </c>
      <c r="G64" s="161">
        <f t="shared" si="1"/>
        <v>216.48643200000001</v>
      </c>
      <c r="H64" s="161">
        <f t="shared" si="1"/>
        <v>220.81616064000002</v>
      </c>
      <c r="I64" s="161">
        <f t="shared" si="1"/>
        <v>225.23248385280002</v>
      </c>
      <c r="J64" s="161">
        <f t="shared" si="1"/>
        <v>229.73713352985601</v>
      </c>
      <c r="K64" s="161">
        <f t="shared" si="1"/>
        <v>234.33187620045314</v>
      </c>
      <c r="L64" s="161">
        <f t="shared" si="1"/>
        <v>239.0185137244622</v>
      </c>
      <c r="M64" s="162">
        <f t="shared" si="0"/>
        <v>2189.9441999475712</v>
      </c>
    </row>
    <row r="65" spans="2:13" ht="15" thickBot="1" x14ac:dyDescent="0.35">
      <c r="B65" s="163" t="s">
        <v>198</v>
      </c>
      <c r="C65" s="164">
        <v>75</v>
      </c>
      <c r="D65" s="164">
        <f t="shared" ref="D65:L65" si="2">C65*1.05</f>
        <v>78.75</v>
      </c>
      <c r="E65" s="164">
        <f t="shared" si="2"/>
        <v>82.6875</v>
      </c>
      <c r="F65" s="164">
        <f t="shared" si="2"/>
        <v>86.821875000000006</v>
      </c>
      <c r="G65" s="164">
        <f t="shared" si="2"/>
        <v>91.162968750000005</v>
      </c>
      <c r="H65" s="164">
        <f t="shared" si="2"/>
        <v>95.721117187500013</v>
      </c>
      <c r="I65" s="164">
        <f t="shared" si="2"/>
        <v>100.50717304687502</v>
      </c>
      <c r="J65" s="164">
        <f t="shared" si="2"/>
        <v>105.53253169921878</v>
      </c>
      <c r="K65" s="164">
        <f t="shared" si="2"/>
        <v>110.80915828417972</v>
      </c>
      <c r="L65" s="164">
        <f t="shared" si="2"/>
        <v>116.3496161983887</v>
      </c>
      <c r="M65" s="165">
        <f t="shared" si="0"/>
        <v>943.3419401661622</v>
      </c>
    </row>
    <row r="66" spans="2:13" x14ac:dyDescent="0.3">
      <c r="B66" s="149" t="s">
        <v>180</v>
      </c>
      <c r="C66" s="148">
        <f>21500*1.15</f>
        <v>24724.999999999996</v>
      </c>
      <c r="D66" s="148"/>
      <c r="E66" s="148"/>
      <c r="F66" s="148"/>
      <c r="G66" s="148"/>
      <c r="H66" s="148"/>
      <c r="I66" s="148"/>
      <c r="J66" s="148"/>
      <c r="K66" s="148"/>
      <c r="L66" s="148"/>
      <c r="M66" s="147">
        <f t="shared" si="0"/>
        <v>24724.999999999996</v>
      </c>
    </row>
    <row r="67" spans="2:13" x14ac:dyDescent="0.3">
      <c r="B67" s="149" t="s">
        <v>199</v>
      </c>
      <c r="C67" s="148">
        <f>C6*52</f>
        <v>2600</v>
      </c>
      <c r="D67" s="148">
        <f t="shared" ref="D67:L67" si="3">C67*1.05</f>
        <v>2730</v>
      </c>
      <c r="E67" s="148">
        <f t="shared" si="3"/>
        <v>2866.5</v>
      </c>
      <c r="F67" s="148">
        <f t="shared" si="3"/>
        <v>3009.8250000000003</v>
      </c>
      <c r="G67" s="148">
        <f t="shared" si="3"/>
        <v>3160.3162500000003</v>
      </c>
      <c r="H67" s="148">
        <f t="shared" si="3"/>
        <v>3318.3320625000006</v>
      </c>
      <c r="I67" s="148">
        <f t="shared" si="3"/>
        <v>3484.2486656250007</v>
      </c>
      <c r="J67" s="148">
        <f t="shared" si="3"/>
        <v>3658.4610989062508</v>
      </c>
      <c r="K67" s="148">
        <f t="shared" si="3"/>
        <v>3841.3841538515635</v>
      </c>
      <c r="L67" s="148">
        <f t="shared" si="3"/>
        <v>4033.4533615441419</v>
      </c>
      <c r="M67" s="147">
        <f t="shared" si="0"/>
        <v>32702.520592426958</v>
      </c>
    </row>
    <row r="68" spans="2:13" ht="15" thickBot="1" x14ac:dyDescent="0.35">
      <c r="B68" s="146" t="s">
        <v>200</v>
      </c>
      <c r="C68" s="145">
        <v>300</v>
      </c>
      <c r="D68" s="145">
        <f t="shared" ref="D68:L68" si="4">C68*1.15</f>
        <v>345</v>
      </c>
      <c r="E68" s="145">
        <f t="shared" si="4"/>
        <v>396.74999999999994</v>
      </c>
      <c r="F68" s="145">
        <f t="shared" si="4"/>
        <v>456.26249999999987</v>
      </c>
      <c r="G68" s="145">
        <f t="shared" si="4"/>
        <v>524.70187499999986</v>
      </c>
      <c r="H68" s="145">
        <f t="shared" si="4"/>
        <v>603.40715624999984</v>
      </c>
      <c r="I68" s="145">
        <f t="shared" si="4"/>
        <v>693.91822968749977</v>
      </c>
      <c r="J68" s="145">
        <f t="shared" si="4"/>
        <v>798.00596414062466</v>
      </c>
      <c r="K68" s="145">
        <f t="shared" si="4"/>
        <v>917.70685876171831</v>
      </c>
      <c r="L68" s="145">
        <f t="shared" si="4"/>
        <v>1055.3628875759759</v>
      </c>
      <c r="M68" s="144">
        <f t="shared" si="0"/>
        <v>6091.1154714158183</v>
      </c>
    </row>
    <row r="69" spans="2:13" x14ac:dyDescent="0.3">
      <c r="B69" s="166" t="s">
        <v>179</v>
      </c>
      <c r="C69" s="158">
        <f t="shared" ref="C69:M69" si="5">C59+C$64+C$65</f>
        <v>31243.35</v>
      </c>
      <c r="D69" s="158">
        <f t="shared" si="5"/>
        <v>282.75</v>
      </c>
      <c r="E69" s="158">
        <f t="shared" si="5"/>
        <v>290.76750000000004</v>
      </c>
      <c r="F69" s="158">
        <f t="shared" si="5"/>
        <v>299.06347500000004</v>
      </c>
      <c r="G69" s="158">
        <f t="shared" si="5"/>
        <v>307.64940075000004</v>
      </c>
      <c r="H69" s="158">
        <f t="shared" si="5"/>
        <v>316.53727782750002</v>
      </c>
      <c r="I69" s="158">
        <f t="shared" si="5"/>
        <v>325.73965689967503</v>
      </c>
      <c r="J69" s="158">
        <f t="shared" si="5"/>
        <v>335.2696652290748</v>
      </c>
      <c r="K69" s="158">
        <f t="shared" si="5"/>
        <v>345.14103448463288</v>
      </c>
      <c r="L69" s="158">
        <f t="shared" si="5"/>
        <v>355.36812992285093</v>
      </c>
      <c r="M69" s="167">
        <f t="shared" si="5"/>
        <v>34101.636140113733</v>
      </c>
    </row>
    <row r="70" spans="2:13" ht="16.8" customHeight="1" x14ac:dyDescent="0.3">
      <c r="B70" s="168" t="s">
        <v>178</v>
      </c>
      <c r="C70" s="161">
        <f t="shared" ref="C70:M70" si="6">C60+C$64+C65</f>
        <v>28449.999999999996</v>
      </c>
      <c r="D70" s="161">
        <f t="shared" si="6"/>
        <v>282.75</v>
      </c>
      <c r="E70" s="161">
        <f t="shared" si="6"/>
        <v>290.76750000000004</v>
      </c>
      <c r="F70" s="161">
        <f t="shared" si="6"/>
        <v>299.06347500000004</v>
      </c>
      <c r="G70" s="161">
        <f t="shared" si="6"/>
        <v>307.64940075000004</v>
      </c>
      <c r="H70" s="161">
        <f t="shared" si="6"/>
        <v>316.53727782750002</v>
      </c>
      <c r="I70" s="161">
        <f t="shared" si="6"/>
        <v>325.73965689967503</v>
      </c>
      <c r="J70" s="161">
        <f t="shared" si="6"/>
        <v>335.2696652290748</v>
      </c>
      <c r="K70" s="161">
        <f t="shared" si="6"/>
        <v>345.14103448463288</v>
      </c>
      <c r="L70" s="161">
        <f t="shared" si="6"/>
        <v>355.36812992285093</v>
      </c>
      <c r="M70" s="169">
        <f t="shared" si="6"/>
        <v>31308.286140113731</v>
      </c>
    </row>
    <row r="71" spans="2:13" ht="16.8" customHeight="1" x14ac:dyDescent="0.3">
      <c r="B71" s="168" t="s">
        <v>177</v>
      </c>
      <c r="C71" s="161">
        <f t="shared" ref="C71:M71" si="7">C61+C$64+C65</f>
        <v>275</v>
      </c>
      <c r="D71" s="161">
        <f t="shared" si="7"/>
        <v>282.75</v>
      </c>
      <c r="E71" s="161">
        <f t="shared" si="7"/>
        <v>290.76750000000004</v>
      </c>
      <c r="F71" s="161">
        <f t="shared" si="7"/>
        <v>299.06347500000004</v>
      </c>
      <c r="G71" s="161">
        <f t="shared" si="7"/>
        <v>307.64940075000004</v>
      </c>
      <c r="H71" s="161">
        <f t="shared" si="7"/>
        <v>316.53727782750002</v>
      </c>
      <c r="I71" s="161">
        <f t="shared" si="7"/>
        <v>325.73965689967503</v>
      </c>
      <c r="J71" s="161">
        <f t="shared" si="7"/>
        <v>335.2696652290748</v>
      </c>
      <c r="K71" s="161">
        <f t="shared" si="7"/>
        <v>345.14103448463288</v>
      </c>
      <c r="L71" s="161">
        <f t="shared" si="7"/>
        <v>355.36812992285093</v>
      </c>
      <c r="M71" s="169">
        <f t="shared" si="7"/>
        <v>3133.2861401137334</v>
      </c>
    </row>
    <row r="72" spans="2:13" ht="16.8" customHeight="1" x14ac:dyDescent="0.3">
      <c r="B72" s="168" t="s">
        <v>176</v>
      </c>
      <c r="C72" s="161">
        <f t="shared" ref="C72:M72" si="8">C62+C$64+C65</f>
        <v>24424.999999999996</v>
      </c>
      <c r="D72" s="161">
        <f t="shared" si="8"/>
        <v>282.75</v>
      </c>
      <c r="E72" s="161">
        <f t="shared" si="8"/>
        <v>290.76750000000004</v>
      </c>
      <c r="F72" s="161">
        <f t="shared" si="8"/>
        <v>299.06347500000004</v>
      </c>
      <c r="G72" s="161">
        <f t="shared" si="8"/>
        <v>307.64940075000004</v>
      </c>
      <c r="H72" s="161">
        <f t="shared" si="8"/>
        <v>316.53727782750002</v>
      </c>
      <c r="I72" s="161">
        <f t="shared" si="8"/>
        <v>325.73965689967503</v>
      </c>
      <c r="J72" s="161">
        <f t="shared" si="8"/>
        <v>335.2696652290748</v>
      </c>
      <c r="K72" s="161">
        <f t="shared" si="8"/>
        <v>345.14103448463288</v>
      </c>
      <c r="L72" s="161">
        <f t="shared" si="8"/>
        <v>355.36812992285093</v>
      </c>
      <c r="M72" s="169">
        <f t="shared" si="8"/>
        <v>27283.286140113731</v>
      </c>
    </row>
    <row r="73" spans="2:13" ht="16.8" customHeight="1" thickBot="1" x14ac:dyDescent="0.35">
      <c r="B73" s="170" t="s">
        <v>175</v>
      </c>
      <c r="C73" s="164">
        <f t="shared" ref="C73:M73" si="9">C63+C64+C65</f>
        <v>44435</v>
      </c>
      <c r="D73" s="164">
        <f t="shared" si="9"/>
        <v>282.75</v>
      </c>
      <c r="E73" s="164">
        <f t="shared" si="9"/>
        <v>290.76750000000004</v>
      </c>
      <c r="F73" s="164">
        <f t="shared" si="9"/>
        <v>299.06347500000004</v>
      </c>
      <c r="G73" s="164">
        <f t="shared" si="9"/>
        <v>307.64940075000004</v>
      </c>
      <c r="H73" s="164">
        <f t="shared" si="9"/>
        <v>316.53727782750002</v>
      </c>
      <c r="I73" s="164">
        <f t="shared" si="9"/>
        <v>325.73965689967503</v>
      </c>
      <c r="J73" s="164">
        <f t="shared" si="9"/>
        <v>335.2696652290748</v>
      </c>
      <c r="K73" s="164">
        <f t="shared" si="9"/>
        <v>345.14103448463288</v>
      </c>
      <c r="L73" s="164">
        <f t="shared" si="9"/>
        <v>355.36812992285093</v>
      </c>
      <c r="M73" s="171">
        <f t="shared" si="9"/>
        <v>47293.286140113727</v>
      </c>
    </row>
    <row r="74" spans="2:13" ht="16.8" customHeight="1" thickBot="1" x14ac:dyDescent="0.35">
      <c r="B74" s="143" t="s">
        <v>174</v>
      </c>
      <c r="C74" s="142">
        <f t="shared" ref="C74:M74" si="10">C66+C67+C68</f>
        <v>27624.999999999996</v>
      </c>
      <c r="D74" s="142">
        <f t="shared" si="10"/>
        <v>3075</v>
      </c>
      <c r="E74" s="142">
        <f t="shared" si="10"/>
        <v>3263.25</v>
      </c>
      <c r="F74" s="142">
        <f t="shared" si="10"/>
        <v>3466.0875000000001</v>
      </c>
      <c r="G74" s="142">
        <f t="shared" si="10"/>
        <v>3685.0181250000001</v>
      </c>
      <c r="H74" s="142">
        <f t="shared" si="10"/>
        <v>3921.7392187500004</v>
      </c>
      <c r="I74" s="142">
        <f t="shared" si="10"/>
        <v>4178.1668953125009</v>
      </c>
      <c r="J74" s="142">
        <f t="shared" si="10"/>
        <v>4456.4670630468754</v>
      </c>
      <c r="K74" s="142">
        <f t="shared" si="10"/>
        <v>4759.0910126132821</v>
      </c>
      <c r="L74" s="142">
        <f t="shared" si="10"/>
        <v>5088.8162491201183</v>
      </c>
      <c r="M74" s="155">
        <f t="shared" si="10"/>
        <v>63518.636063842772</v>
      </c>
    </row>
    <row r="75" spans="2:13" ht="16.8" customHeight="1" x14ac:dyDescent="0.3">
      <c r="B75" s="166" t="s">
        <v>173</v>
      </c>
      <c r="C75" s="158">
        <f t="shared" ref="C75:C80" si="11">C69</f>
        <v>31243.35</v>
      </c>
      <c r="D75" s="158">
        <f t="shared" ref="D75:L78" si="12">D69+C75</f>
        <v>31526.1</v>
      </c>
      <c r="E75" s="158">
        <f t="shared" si="12"/>
        <v>31816.8675</v>
      </c>
      <c r="F75" s="158">
        <f t="shared" si="12"/>
        <v>32115.930974999999</v>
      </c>
      <c r="G75" s="158">
        <f t="shared" si="12"/>
        <v>32423.58037575</v>
      </c>
      <c r="H75" s="158">
        <f t="shared" si="12"/>
        <v>32740.117653577501</v>
      </c>
      <c r="I75" s="158">
        <f t="shared" si="12"/>
        <v>33065.857310477179</v>
      </c>
      <c r="J75" s="158">
        <f t="shared" si="12"/>
        <v>33401.126975706255</v>
      </c>
      <c r="K75" s="158">
        <f t="shared" si="12"/>
        <v>33746.268010190885</v>
      </c>
      <c r="L75" s="158">
        <f t="shared" si="12"/>
        <v>34101.636140113733</v>
      </c>
      <c r="M75" s="167">
        <f t="shared" ref="M75:M80" si="13">L75</f>
        <v>34101.636140113733</v>
      </c>
    </row>
    <row r="76" spans="2:13" ht="16.8" customHeight="1" x14ac:dyDescent="0.3">
      <c r="B76" s="168" t="s">
        <v>172</v>
      </c>
      <c r="C76" s="161">
        <f t="shared" si="11"/>
        <v>28449.999999999996</v>
      </c>
      <c r="D76" s="161">
        <f t="shared" si="12"/>
        <v>28732.749999999996</v>
      </c>
      <c r="E76" s="161">
        <f t="shared" si="12"/>
        <v>29023.517499999998</v>
      </c>
      <c r="F76" s="161">
        <f t="shared" si="12"/>
        <v>29322.580974999997</v>
      </c>
      <c r="G76" s="161">
        <f t="shared" si="12"/>
        <v>29630.230375749998</v>
      </c>
      <c r="H76" s="161">
        <f t="shared" si="12"/>
        <v>29946.767653577499</v>
      </c>
      <c r="I76" s="161">
        <f t="shared" si="12"/>
        <v>30272.507310477173</v>
      </c>
      <c r="J76" s="161">
        <f t="shared" si="12"/>
        <v>30607.776975706249</v>
      </c>
      <c r="K76" s="161">
        <f t="shared" si="12"/>
        <v>30952.918010190882</v>
      </c>
      <c r="L76" s="161">
        <f t="shared" si="12"/>
        <v>31308.286140113734</v>
      </c>
      <c r="M76" s="169">
        <f t="shared" si="13"/>
        <v>31308.286140113734</v>
      </c>
    </row>
    <row r="77" spans="2:13" ht="16.8" customHeight="1" x14ac:dyDescent="0.3">
      <c r="B77" s="168" t="s">
        <v>171</v>
      </c>
      <c r="C77" s="161">
        <f t="shared" si="11"/>
        <v>275</v>
      </c>
      <c r="D77" s="161">
        <f t="shared" si="12"/>
        <v>557.75</v>
      </c>
      <c r="E77" s="161">
        <f t="shared" si="12"/>
        <v>848.51750000000004</v>
      </c>
      <c r="F77" s="161">
        <f t="shared" si="12"/>
        <v>1147.5809750000001</v>
      </c>
      <c r="G77" s="161">
        <f t="shared" si="12"/>
        <v>1455.2303757500001</v>
      </c>
      <c r="H77" s="161">
        <f t="shared" si="12"/>
        <v>1771.7676535775001</v>
      </c>
      <c r="I77" s="161">
        <f t="shared" si="12"/>
        <v>2097.507310477175</v>
      </c>
      <c r="J77" s="161">
        <f t="shared" si="12"/>
        <v>2432.7769757062497</v>
      </c>
      <c r="K77" s="161">
        <f t="shared" si="12"/>
        <v>2777.9180101908823</v>
      </c>
      <c r="L77" s="161">
        <f t="shared" si="12"/>
        <v>3133.2861401137334</v>
      </c>
      <c r="M77" s="169">
        <f t="shared" si="13"/>
        <v>3133.2861401137334</v>
      </c>
    </row>
    <row r="78" spans="2:13" ht="16.8" customHeight="1" x14ac:dyDescent="0.3">
      <c r="B78" s="168" t="s">
        <v>170</v>
      </c>
      <c r="C78" s="161">
        <f t="shared" si="11"/>
        <v>24424.999999999996</v>
      </c>
      <c r="D78" s="161">
        <f t="shared" si="12"/>
        <v>24707.749999999996</v>
      </c>
      <c r="E78" s="161">
        <f t="shared" si="12"/>
        <v>24998.517499999998</v>
      </c>
      <c r="F78" s="161">
        <f t="shared" si="12"/>
        <v>25297.580974999997</v>
      </c>
      <c r="G78" s="161">
        <f t="shared" si="12"/>
        <v>25605.230375749998</v>
      </c>
      <c r="H78" s="161">
        <f t="shared" si="12"/>
        <v>25921.767653577499</v>
      </c>
      <c r="I78" s="161">
        <f t="shared" si="12"/>
        <v>26247.507310477173</v>
      </c>
      <c r="J78" s="161">
        <f t="shared" si="12"/>
        <v>26582.776975706249</v>
      </c>
      <c r="K78" s="161">
        <f t="shared" si="12"/>
        <v>26927.918010190882</v>
      </c>
      <c r="L78" s="161">
        <f t="shared" si="12"/>
        <v>27283.286140113734</v>
      </c>
      <c r="M78" s="169">
        <f t="shared" si="13"/>
        <v>27283.286140113734</v>
      </c>
    </row>
    <row r="79" spans="2:13" ht="16.8" customHeight="1" thickBot="1" x14ac:dyDescent="0.35">
      <c r="B79" s="170" t="s">
        <v>169</v>
      </c>
      <c r="C79" s="164">
        <f t="shared" si="11"/>
        <v>44435</v>
      </c>
      <c r="D79" s="164">
        <f t="shared" ref="D79:L79" si="14">C79+D73</f>
        <v>44717.75</v>
      </c>
      <c r="E79" s="164">
        <f t="shared" si="14"/>
        <v>45008.517500000002</v>
      </c>
      <c r="F79" s="164">
        <f t="shared" si="14"/>
        <v>45307.580975000004</v>
      </c>
      <c r="G79" s="164">
        <f t="shared" si="14"/>
        <v>45615.230375750005</v>
      </c>
      <c r="H79" s="164">
        <f t="shared" si="14"/>
        <v>45931.767653577503</v>
      </c>
      <c r="I79" s="164">
        <f t="shared" si="14"/>
        <v>46257.50731047718</v>
      </c>
      <c r="J79" s="164">
        <f t="shared" si="14"/>
        <v>46592.776975706256</v>
      </c>
      <c r="K79" s="164">
        <f t="shared" si="14"/>
        <v>46937.918010190886</v>
      </c>
      <c r="L79" s="164">
        <f t="shared" si="14"/>
        <v>47293.286140113734</v>
      </c>
      <c r="M79" s="171">
        <f t="shared" si="13"/>
        <v>47293.286140113734</v>
      </c>
    </row>
    <row r="80" spans="2:13" ht="16.8" customHeight="1" thickBot="1" x14ac:dyDescent="0.35">
      <c r="B80" s="143" t="s">
        <v>189</v>
      </c>
      <c r="C80" s="142">
        <f t="shared" si="11"/>
        <v>27624.999999999996</v>
      </c>
      <c r="D80" s="142">
        <f t="shared" ref="D80:L80" si="15">D74+C80</f>
        <v>30699.999999999996</v>
      </c>
      <c r="E80" s="142">
        <f t="shared" si="15"/>
        <v>33963.25</v>
      </c>
      <c r="F80" s="142">
        <f t="shared" si="15"/>
        <v>37429.337500000001</v>
      </c>
      <c r="G80" s="142">
        <f t="shared" si="15"/>
        <v>41114.355625000004</v>
      </c>
      <c r="H80" s="142">
        <f t="shared" si="15"/>
        <v>45036.094843750005</v>
      </c>
      <c r="I80" s="142">
        <f t="shared" si="15"/>
        <v>49214.261739062509</v>
      </c>
      <c r="J80" s="142">
        <f t="shared" si="15"/>
        <v>53670.728802109385</v>
      </c>
      <c r="K80" s="142">
        <f t="shared" si="15"/>
        <v>58429.819814722665</v>
      </c>
      <c r="L80" s="142">
        <f t="shared" si="15"/>
        <v>63518.636063842787</v>
      </c>
      <c r="M80" s="155">
        <f t="shared" si="13"/>
        <v>63518.636063842787</v>
      </c>
    </row>
    <row r="81" spans="2:13" ht="16.8" customHeight="1" x14ac:dyDescent="0.3">
      <c r="B81" s="166" t="s">
        <v>168</v>
      </c>
      <c r="C81" s="158">
        <f t="shared" ref="C81:L86" si="16">C69/12</f>
        <v>2603.6124999999997</v>
      </c>
      <c r="D81" s="158">
        <f t="shared" si="16"/>
        <v>23.5625</v>
      </c>
      <c r="E81" s="158">
        <f t="shared" si="16"/>
        <v>24.230625000000003</v>
      </c>
      <c r="F81" s="158">
        <f t="shared" si="16"/>
        <v>24.921956250000004</v>
      </c>
      <c r="G81" s="158">
        <f t="shared" si="16"/>
        <v>25.637450062500005</v>
      </c>
      <c r="H81" s="158">
        <f t="shared" si="16"/>
        <v>26.378106485625</v>
      </c>
      <c r="I81" s="158">
        <f t="shared" si="16"/>
        <v>27.144971408306251</v>
      </c>
      <c r="J81" s="158">
        <f t="shared" si="16"/>
        <v>27.939138769089567</v>
      </c>
      <c r="K81" s="158">
        <f t="shared" si="16"/>
        <v>28.761752873719406</v>
      </c>
      <c r="L81" s="158">
        <f t="shared" si="16"/>
        <v>29.614010826904245</v>
      </c>
      <c r="M81" s="167"/>
    </row>
    <row r="82" spans="2:13" ht="16.8" customHeight="1" x14ac:dyDescent="0.3">
      <c r="B82" s="168" t="s">
        <v>167</v>
      </c>
      <c r="C82" s="161">
        <f t="shared" si="16"/>
        <v>2370.833333333333</v>
      </c>
      <c r="D82" s="161">
        <f t="shared" si="16"/>
        <v>23.5625</v>
      </c>
      <c r="E82" s="161">
        <f t="shared" si="16"/>
        <v>24.230625000000003</v>
      </c>
      <c r="F82" s="161">
        <f t="shared" si="16"/>
        <v>24.921956250000004</v>
      </c>
      <c r="G82" s="161">
        <f t="shared" si="16"/>
        <v>25.637450062500005</v>
      </c>
      <c r="H82" s="161">
        <f t="shared" si="16"/>
        <v>26.378106485625</v>
      </c>
      <c r="I82" s="161">
        <f t="shared" si="16"/>
        <v>27.144971408306251</v>
      </c>
      <c r="J82" s="161">
        <f t="shared" si="16"/>
        <v>27.939138769089567</v>
      </c>
      <c r="K82" s="161">
        <f t="shared" si="16"/>
        <v>28.761752873719406</v>
      </c>
      <c r="L82" s="161">
        <f t="shared" si="16"/>
        <v>29.614010826904245</v>
      </c>
      <c r="M82" s="169"/>
    </row>
    <row r="83" spans="2:13" ht="16.8" customHeight="1" x14ac:dyDescent="0.3">
      <c r="B83" s="168" t="s">
        <v>190</v>
      </c>
      <c r="C83" s="161">
        <f t="shared" si="16"/>
        <v>22.916666666666668</v>
      </c>
      <c r="D83" s="161">
        <f t="shared" si="16"/>
        <v>23.5625</v>
      </c>
      <c r="E83" s="161">
        <f t="shared" si="16"/>
        <v>24.230625000000003</v>
      </c>
      <c r="F83" s="161">
        <f t="shared" si="16"/>
        <v>24.921956250000004</v>
      </c>
      <c r="G83" s="161">
        <f t="shared" si="16"/>
        <v>25.637450062500005</v>
      </c>
      <c r="H83" s="161">
        <f t="shared" si="16"/>
        <v>26.378106485625</v>
      </c>
      <c r="I83" s="161">
        <f t="shared" si="16"/>
        <v>27.144971408306251</v>
      </c>
      <c r="J83" s="161">
        <f t="shared" si="16"/>
        <v>27.939138769089567</v>
      </c>
      <c r="K83" s="161">
        <f t="shared" si="16"/>
        <v>28.761752873719406</v>
      </c>
      <c r="L83" s="161">
        <f t="shared" si="16"/>
        <v>29.614010826904245</v>
      </c>
      <c r="M83" s="169"/>
    </row>
    <row r="84" spans="2:13" ht="16.8" customHeight="1" x14ac:dyDescent="0.3">
      <c r="B84" s="168" t="s">
        <v>191</v>
      </c>
      <c r="C84" s="161">
        <f t="shared" si="16"/>
        <v>2035.4166666666663</v>
      </c>
      <c r="D84" s="161">
        <f t="shared" si="16"/>
        <v>23.5625</v>
      </c>
      <c r="E84" s="161">
        <f t="shared" si="16"/>
        <v>24.230625000000003</v>
      </c>
      <c r="F84" s="161">
        <f t="shared" si="16"/>
        <v>24.921956250000004</v>
      </c>
      <c r="G84" s="161">
        <f t="shared" si="16"/>
        <v>25.637450062500005</v>
      </c>
      <c r="H84" s="161">
        <f t="shared" si="16"/>
        <v>26.378106485625</v>
      </c>
      <c r="I84" s="161">
        <f t="shared" si="16"/>
        <v>27.144971408306251</v>
      </c>
      <c r="J84" s="161">
        <f t="shared" si="16"/>
        <v>27.939138769089567</v>
      </c>
      <c r="K84" s="161">
        <f t="shared" si="16"/>
        <v>28.761752873719406</v>
      </c>
      <c r="L84" s="161">
        <f t="shared" si="16"/>
        <v>29.614010826904245</v>
      </c>
      <c r="M84" s="169"/>
    </row>
    <row r="85" spans="2:13" ht="16.8" customHeight="1" thickBot="1" x14ac:dyDescent="0.35">
      <c r="B85" s="170" t="s">
        <v>166</v>
      </c>
      <c r="C85" s="164">
        <f t="shared" si="16"/>
        <v>3702.9166666666665</v>
      </c>
      <c r="D85" s="164">
        <f t="shared" si="16"/>
        <v>23.5625</v>
      </c>
      <c r="E85" s="164">
        <f t="shared" si="16"/>
        <v>24.230625000000003</v>
      </c>
      <c r="F85" s="164">
        <f t="shared" si="16"/>
        <v>24.921956250000004</v>
      </c>
      <c r="G85" s="164">
        <f t="shared" si="16"/>
        <v>25.637450062500005</v>
      </c>
      <c r="H85" s="164">
        <f t="shared" si="16"/>
        <v>26.378106485625</v>
      </c>
      <c r="I85" s="164">
        <f t="shared" si="16"/>
        <v>27.144971408306251</v>
      </c>
      <c r="J85" s="164">
        <f t="shared" si="16"/>
        <v>27.939138769089567</v>
      </c>
      <c r="K85" s="164">
        <f t="shared" si="16"/>
        <v>28.761752873719406</v>
      </c>
      <c r="L85" s="164">
        <f t="shared" si="16"/>
        <v>29.614010826904245</v>
      </c>
      <c r="M85" s="171"/>
    </row>
    <row r="86" spans="2:13" ht="16.8" customHeight="1" thickBot="1" x14ac:dyDescent="0.35">
      <c r="B86" s="141" t="s">
        <v>165</v>
      </c>
      <c r="C86" s="140">
        <f t="shared" si="16"/>
        <v>2302.083333333333</v>
      </c>
      <c r="D86" s="140">
        <f t="shared" si="16"/>
        <v>256.25</v>
      </c>
      <c r="E86" s="140">
        <f t="shared" si="16"/>
        <v>271.9375</v>
      </c>
      <c r="F86" s="140">
        <f t="shared" si="16"/>
        <v>288.84062499999999</v>
      </c>
      <c r="G86" s="140">
        <f t="shared" si="16"/>
        <v>307.08484375</v>
      </c>
      <c r="H86" s="140">
        <f t="shared" si="16"/>
        <v>326.81160156250002</v>
      </c>
      <c r="I86" s="140">
        <f t="shared" si="16"/>
        <v>348.18057460937507</v>
      </c>
      <c r="J86" s="140">
        <f t="shared" si="16"/>
        <v>371.3722552539063</v>
      </c>
      <c r="K86" s="140">
        <f t="shared" si="16"/>
        <v>396.59091771777349</v>
      </c>
      <c r="L86" s="140">
        <f t="shared" si="16"/>
        <v>424.06802076000986</v>
      </c>
      <c r="M86" s="156"/>
    </row>
    <row r="87" spans="2:13" ht="16.8" customHeight="1" thickTop="1" x14ac:dyDescent="0.3">
      <c r="B87" s="166" t="s">
        <v>201</v>
      </c>
      <c r="C87" s="158">
        <f t="shared" ref="C87:L91" si="17">C$86-C81</f>
        <v>-301.5291666666667</v>
      </c>
      <c r="D87" s="158">
        <f t="shared" si="17"/>
        <v>232.6875</v>
      </c>
      <c r="E87" s="158">
        <f t="shared" si="17"/>
        <v>247.706875</v>
      </c>
      <c r="F87" s="158">
        <f t="shared" si="17"/>
        <v>263.91866874999999</v>
      </c>
      <c r="G87" s="158">
        <f t="shared" si="17"/>
        <v>281.44739368749998</v>
      </c>
      <c r="H87" s="158">
        <f t="shared" si="17"/>
        <v>300.43349507687503</v>
      </c>
      <c r="I87" s="158">
        <f t="shared" si="17"/>
        <v>321.0356032010688</v>
      </c>
      <c r="J87" s="158">
        <f t="shared" si="17"/>
        <v>343.43311648481676</v>
      </c>
      <c r="K87" s="158">
        <f t="shared" si="17"/>
        <v>367.82916484405411</v>
      </c>
      <c r="L87" s="158">
        <f t="shared" si="17"/>
        <v>394.45400993310562</v>
      </c>
      <c r="M87" s="172">
        <f>M$74-M69</f>
        <v>29416.999923729039</v>
      </c>
    </row>
    <row r="88" spans="2:13" ht="16.8" customHeight="1" x14ac:dyDescent="0.3">
      <c r="B88" s="168" t="s">
        <v>202</v>
      </c>
      <c r="C88" s="161">
        <f t="shared" si="17"/>
        <v>-68.75</v>
      </c>
      <c r="D88" s="161">
        <f t="shared" si="17"/>
        <v>232.6875</v>
      </c>
      <c r="E88" s="161">
        <f t="shared" si="17"/>
        <v>247.706875</v>
      </c>
      <c r="F88" s="161">
        <f t="shared" si="17"/>
        <v>263.91866874999999</v>
      </c>
      <c r="G88" s="161">
        <f t="shared" si="17"/>
        <v>281.44739368749998</v>
      </c>
      <c r="H88" s="161">
        <f t="shared" si="17"/>
        <v>300.43349507687503</v>
      </c>
      <c r="I88" s="161">
        <f t="shared" si="17"/>
        <v>321.0356032010688</v>
      </c>
      <c r="J88" s="161">
        <f t="shared" si="17"/>
        <v>343.43311648481676</v>
      </c>
      <c r="K88" s="161">
        <f t="shared" si="17"/>
        <v>367.82916484405411</v>
      </c>
      <c r="L88" s="161">
        <f t="shared" si="17"/>
        <v>394.45400993310562</v>
      </c>
      <c r="M88" s="173">
        <f t="shared" ref="M88:M91" si="18">M$74-M70</f>
        <v>32210.349923729042</v>
      </c>
    </row>
    <row r="89" spans="2:13" x14ac:dyDescent="0.3">
      <c r="B89" s="168" t="s">
        <v>203</v>
      </c>
      <c r="C89" s="161">
        <f t="shared" si="17"/>
        <v>2279.1666666666665</v>
      </c>
      <c r="D89" s="161">
        <f t="shared" si="17"/>
        <v>232.6875</v>
      </c>
      <c r="E89" s="161">
        <f t="shared" si="17"/>
        <v>247.706875</v>
      </c>
      <c r="F89" s="161">
        <f t="shared" si="17"/>
        <v>263.91866874999999</v>
      </c>
      <c r="G89" s="161">
        <f t="shared" si="17"/>
        <v>281.44739368749998</v>
      </c>
      <c r="H89" s="161">
        <f t="shared" si="17"/>
        <v>300.43349507687503</v>
      </c>
      <c r="I89" s="161">
        <f t="shared" si="17"/>
        <v>321.0356032010688</v>
      </c>
      <c r="J89" s="161">
        <f t="shared" si="17"/>
        <v>343.43311648481676</v>
      </c>
      <c r="K89" s="161">
        <f t="shared" si="17"/>
        <v>367.82916484405411</v>
      </c>
      <c r="L89" s="161">
        <f t="shared" si="17"/>
        <v>394.45400993310562</v>
      </c>
      <c r="M89" s="173">
        <f t="shared" si="18"/>
        <v>60385.349923729038</v>
      </c>
    </row>
    <row r="90" spans="2:13" x14ac:dyDescent="0.3">
      <c r="B90" s="168" t="s">
        <v>205</v>
      </c>
      <c r="C90" s="161">
        <f t="shared" si="17"/>
        <v>266.66666666666674</v>
      </c>
      <c r="D90" s="161">
        <f t="shared" si="17"/>
        <v>232.6875</v>
      </c>
      <c r="E90" s="161">
        <f t="shared" si="17"/>
        <v>247.706875</v>
      </c>
      <c r="F90" s="161">
        <f t="shared" si="17"/>
        <v>263.91866874999999</v>
      </c>
      <c r="G90" s="161">
        <f t="shared" si="17"/>
        <v>281.44739368749998</v>
      </c>
      <c r="H90" s="161">
        <f t="shared" si="17"/>
        <v>300.43349507687503</v>
      </c>
      <c r="I90" s="161">
        <f t="shared" si="17"/>
        <v>321.0356032010688</v>
      </c>
      <c r="J90" s="161">
        <f t="shared" si="17"/>
        <v>343.43311648481676</v>
      </c>
      <c r="K90" s="161">
        <f t="shared" si="17"/>
        <v>367.82916484405411</v>
      </c>
      <c r="L90" s="161">
        <f t="shared" si="17"/>
        <v>394.45400993310562</v>
      </c>
      <c r="M90" s="173">
        <f t="shared" si="18"/>
        <v>36235.349923729038</v>
      </c>
    </row>
    <row r="91" spans="2:13" ht="15" thickBot="1" x14ac:dyDescent="0.35">
      <c r="B91" s="170" t="s">
        <v>204</v>
      </c>
      <c r="C91" s="164">
        <f t="shared" si="17"/>
        <v>-1400.8333333333335</v>
      </c>
      <c r="D91" s="164">
        <f t="shared" si="17"/>
        <v>232.6875</v>
      </c>
      <c r="E91" s="164">
        <f t="shared" si="17"/>
        <v>247.706875</v>
      </c>
      <c r="F91" s="164">
        <f t="shared" si="17"/>
        <v>263.91866874999999</v>
      </c>
      <c r="G91" s="164">
        <f t="shared" si="17"/>
        <v>281.44739368749998</v>
      </c>
      <c r="H91" s="164">
        <f t="shared" si="17"/>
        <v>300.43349507687503</v>
      </c>
      <c r="I91" s="164">
        <f t="shared" si="17"/>
        <v>321.0356032010688</v>
      </c>
      <c r="J91" s="164">
        <f t="shared" si="17"/>
        <v>343.43311648481676</v>
      </c>
      <c r="K91" s="164">
        <f t="shared" si="17"/>
        <v>367.82916484405411</v>
      </c>
      <c r="L91" s="164">
        <f t="shared" si="17"/>
        <v>394.45400993310562</v>
      </c>
      <c r="M91" s="174">
        <f t="shared" si="18"/>
        <v>16225.349923729045</v>
      </c>
    </row>
    <row r="92" spans="2:13" ht="19.8" customHeight="1" x14ac:dyDescent="0.35">
      <c r="B92" s="181" t="s">
        <v>213</v>
      </c>
      <c r="C92" s="1"/>
      <c r="D92" s="1"/>
      <c r="E92" s="1"/>
      <c r="F92" s="1"/>
      <c r="G92" s="1"/>
      <c r="H92" s="1"/>
      <c r="I92" s="1"/>
      <c r="J92" s="1"/>
      <c r="K92" s="1"/>
      <c r="L92" s="1"/>
      <c r="M92" s="1"/>
    </row>
    <row r="93" spans="2:13" ht="38.4" customHeight="1" x14ac:dyDescent="0.85">
      <c r="B93" s="178" t="s">
        <v>35</v>
      </c>
      <c r="D93" s="13"/>
      <c r="E93" s="13"/>
      <c r="F93" s="13"/>
      <c r="G93" s="13"/>
      <c r="H93" s="13"/>
      <c r="I93" s="13"/>
      <c r="J93" s="13"/>
      <c r="K93" s="13"/>
      <c r="L93" s="176"/>
      <c r="M93" s="179" t="s">
        <v>207</v>
      </c>
    </row>
    <row r="94" spans="2:13" ht="18" x14ac:dyDescent="0.35">
      <c r="B94" s="178" t="s">
        <v>34</v>
      </c>
      <c r="C94" s="13"/>
      <c r="D94" s="13"/>
      <c r="E94" s="13"/>
      <c r="F94" s="13"/>
      <c r="G94" s="13"/>
      <c r="H94" s="13"/>
      <c r="I94" s="13"/>
      <c r="J94" s="13"/>
      <c r="K94" s="13"/>
      <c r="L94" s="176"/>
      <c r="M94" s="107" t="s">
        <v>208</v>
      </c>
    </row>
    <row r="95" spans="2:13" ht="18" x14ac:dyDescent="0.35">
      <c r="B95" s="178" t="s">
        <v>33</v>
      </c>
      <c r="C95" s="13"/>
      <c r="D95" s="13"/>
      <c r="E95" s="13"/>
      <c r="F95" s="13"/>
      <c r="G95" s="13"/>
      <c r="H95" s="13"/>
      <c r="I95" s="13"/>
      <c r="J95" s="13"/>
      <c r="K95" s="13"/>
      <c r="L95" s="176"/>
      <c r="M95" s="177" t="s">
        <v>206</v>
      </c>
    </row>
    <row r="96" spans="2:13" ht="18" x14ac:dyDescent="0.35">
      <c r="B96" s="178" t="s">
        <v>164</v>
      </c>
      <c r="C96" s="13"/>
      <c r="D96" s="13"/>
      <c r="E96" s="13"/>
      <c r="F96" s="13"/>
      <c r="G96" s="13" t="s">
        <v>210</v>
      </c>
      <c r="H96" s="13"/>
      <c r="I96" s="13"/>
      <c r="J96" s="13"/>
      <c r="K96" s="13"/>
      <c r="L96" s="176"/>
      <c r="M96" s="69"/>
    </row>
    <row r="97" spans="2:13" ht="18" x14ac:dyDescent="0.35">
      <c r="B97" s="55"/>
      <c r="L97" s="14"/>
      <c r="M97" s="40"/>
    </row>
    <row r="98" spans="2:13" x14ac:dyDescent="0.3">
      <c r="B98" s="152" t="s">
        <v>7</v>
      </c>
      <c r="C98" s="152"/>
      <c r="D98" s="152"/>
      <c r="E98" s="152"/>
      <c r="F98" s="152"/>
      <c r="G98" s="152"/>
      <c r="H98" s="152"/>
      <c r="I98" s="152"/>
      <c r="J98" s="152"/>
    </row>
    <row r="99" spans="2:13" x14ac:dyDescent="0.3">
      <c r="B99" s="152" t="s">
        <v>23</v>
      </c>
      <c r="C99" s="152">
        <v>1.02</v>
      </c>
      <c r="D99" s="152" t="s">
        <v>3</v>
      </c>
      <c r="E99" s="152" t="s">
        <v>1</v>
      </c>
      <c r="F99" s="152"/>
      <c r="G99" s="152"/>
      <c r="H99" s="152"/>
      <c r="I99" s="152"/>
      <c r="J99" s="152"/>
    </row>
    <row r="100" spans="2:13" x14ac:dyDescent="0.3">
      <c r="B100" s="152" t="s">
        <v>24</v>
      </c>
      <c r="C100" s="152">
        <v>1.05</v>
      </c>
      <c r="D100" s="152" t="s">
        <v>8</v>
      </c>
      <c r="E100" s="152"/>
      <c r="F100" s="152"/>
      <c r="G100" s="152"/>
      <c r="H100" s="152"/>
      <c r="I100" s="152"/>
      <c r="J100" s="152"/>
    </row>
    <row r="101" spans="2:13" x14ac:dyDescent="0.3">
      <c r="B101" s="152">
        <f>C99</f>
        <v>1.02</v>
      </c>
      <c r="C101" s="153" t="s">
        <v>3</v>
      </c>
      <c r="D101" s="152"/>
      <c r="E101" s="152"/>
      <c r="F101" s="152"/>
      <c r="G101" s="152"/>
      <c r="H101" s="152"/>
      <c r="I101" s="152"/>
      <c r="J101" s="152"/>
    </row>
    <row r="102" spans="2:13" x14ac:dyDescent="0.3">
      <c r="B102" s="152"/>
      <c r="C102" s="152"/>
      <c r="D102" s="152"/>
      <c r="E102" s="152"/>
      <c r="F102" s="152"/>
      <c r="G102" s="152"/>
      <c r="H102" s="152"/>
      <c r="I102" s="152"/>
      <c r="J102" s="152"/>
    </row>
    <row r="103" spans="2:13" x14ac:dyDescent="0.3">
      <c r="B103" s="152">
        <v>14500</v>
      </c>
      <c r="C103" s="152">
        <v>243.49</v>
      </c>
      <c r="D103" s="152"/>
      <c r="E103" s="152"/>
      <c r="F103" s="152"/>
      <c r="G103" s="152"/>
      <c r="H103" s="152"/>
      <c r="I103" s="152"/>
      <c r="J103" s="152"/>
    </row>
    <row r="104" spans="2:13" x14ac:dyDescent="0.3">
      <c r="B104" s="152">
        <f>C5</f>
        <v>21500</v>
      </c>
      <c r="C104" s="152">
        <f>B104*C103/B103</f>
        <v>361.03689655172411</v>
      </c>
      <c r="D104" s="152"/>
      <c r="E104" s="152"/>
      <c r="F104" s="152"/>
      <c r="G104" s="152"/>
      <c r="H104" s="152"/>
      <c r="I104" s="152"/>
      <c r="J104" s="152"/>
    </row>
    <row r="105" spans="2:13" x14ac:dyDescent="0.3">
      <c r="B105" s="152"/>
      <c r="C105" s="152"/>
      <c r="D105" s="152"/>
      <c r="E105" s="152"/>
      <c r="F105" s="152"/>
      <c r="G105" s="152"/>
      <c r="H105" s="152"/>
      <c r="I105" s="152"/>
      <c r="J105" s="152"/>
    </row>
    <row r="106" spans="2:13" x14ac:dyDescent="0.3">
      <c r="B106" s="152"/>
      <c r="C106" s="152"/>
      <c r="D106" s="152"/>
      <c r="E106" s="152"/>
      <c r="F106" s="152"/>
      <c r="G106" s="152"/>
      <c r="H106" s="152"/>
      <c r="I106" s="152"/>
      <c r="J106" s="152"/>
    </row>
  </sheetData>
  <hyperlinks>
    <hyperlink ref="B95" r:id="rId1"/>
    <hyperlink ref="B94" r:id="rId2"/>
    <hyperlink ref="B93" r:id="rId3"/>
    <hyperlink ref="B96" r:id="rId4"/>
    <hyperlink ref="L5" r:id="rId5"/>
    <hyperlink ref="B92" r:id="rId6"/>
  </hyperlinks>
  <pageMargins left="0" right="0" top="0" bottom="0" header="0" footer="0"/>
  <pageSetup scale="65" orientation="landscape" r:id="rId7"/>
  <rowBreaks count="1" manualBreakCount="1">
    <brk id="57" max="16383" man="1"/>
  </rowBreaks>
  <drawing r:id="rId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showGridLines="0" view="pageBreakPreview" topLeftCell="A4" zoomScale="60" zoomScaleNormal="70" workbookViewId="0">
      <selection activeCell="O10" sqref="O10"/>
    </sheetView>
  </sheetViews>
  <sheetFormatPr baseColWidth="10" defaultRowHeight="14.4" x14ac:dyDescent="0.3"/>
  <cols>
    <col min="1" max="1" width="2.6640625" customWidth="1"/>
    <col min="2" max="2" width="49.44140625" customWidth="1"/>
    <col min="3" max="9" width="13.33203125" customWidth="1"/>
    <col min="10" max="12" width="12.21875" bestFit="1" customWidth="1"/>
    <col min="13" max="13" width="15.21875" customWidth="1"/>
  </cols>
  <sheetData>
    <row r="1" spans="1:12" ht="8.25" customHeight="1" x14ac:dyDescent="0.3">
      <c r="A1" t="s">
        <v>163</v>
      </c>
    </row>
    <row r="2" spans="1:12" ht="24" customHeight="1" x14ac:dyDescent="0.4">
      <c r="B2" s="151" t="s">
        <v>211</v>
      </c>
    </row>
    <row r="3" spans="1:12" ht="24" customHeight="1" x14ac:dyDescent="0.4">
      <c r="B3" s="151" t="s">
        <v>209</v>
      </c>
    </row>
    <row r="4" spans="1:12" ht="24" customHeight="1" x14ac:dyDescent="0.4">
      <c r="B4" s="151" t="s">
        <v>214</v>
      </c>
    </row>
    <row r="5" spans="1:12" ht="24" customHeight="1" x14ac:dyDescent="0.6">
      <c r="B5" s="150" t="s">
        <v>188</v>
      </c>
      <c r="C5" s="175">
        <v>21500</v>
      </c>
      <c r="D5" t="s">
        <v>186</v>
      </c>
      <c r="L5" s="180" t="s">
        <v>212</v>
      </c>
    </row>
    <row r="6" spans="1:12" ht="24" customHeight="1" x14ac:dyDescent="0.3">
      <c r="B6" s="107" t="s">
        <v>187</v>
      </c>
      <c r="C6" s="175">
        <v>50</v>
      </c>
      <c r="D6" t="s">
        <v>186</v>
      </c>
    </row>
    <row r="9" spans="1:12" ht="21" x14ac:dyDescent="0.4">
      <c r="B9" s="151" t="s">
        <v>217</v>
      </c>
    </row>
    <row r="34" spans="3:12" x14ac:dyDescent="0.3">
      <c r="C34" s="15"/>
      <c r="D34" s="15"/>
      <c r="E34" s="15"/>
      <c r="F34" s="15"/>
      <c r="G34" s="15"/>
      <c r="H34" s="15"/>
      <c r="I34" s="15"/>
      <c r="J34" s="15"/>
      <c r="K34" s="15"/>
      <c r="L34" s="15"/>
    </row>
    <row r="35" spans="3:12" x14ac:dyDescent="0.3">
      <c r="C35" s="15"/>
      <c r="D35" s="15"/>
      <c r="E35" s="15"/>
      <c r="F35" s="15"/>
      <c r="G35" s="15"/>
      <c r="H35" s="15"/>
      <c r="I35" s="15"/>
      <c r="J35" s="15"/>
      <c r="K35" s="15"/>
      <c r="L35" s="15"/>
    </row>
    <row r="36" spans="3:12" x14ac:dyDescent="0.3">
      <c r="C36" s="15"/>
      <c r="D36" s="15"/>
      <c r="E36" s="15"/>
      <c r="F36" s="15"/>
      <c r="G36" s="15"/>
      <c r="H36" s="15"/>
      <c r="I36" s="15"/>
      <c r="J36" s="15"/>
      <c r="K36" s="15"/>
      <c r="L36" s="15"/>
    </row>
    <row r="37" spans="3:12" x14ac:dyDescent="0.3">
      <c r="C37" s="15"/>
      <c r="D37" s="15"/>
      <c r="E37" s="15"/>
      <c r="F37" s="15"/>
      <c r="G37" s="15"/>
      <c r="H37" s="15"/>
      <c r="I37" s="15"/>
      <c r="J37" s="15"/>
      <c r="K37" s="15"/>
      <c r="L37" s="15"/>
    </row>
    <row r="38" spans="3:12" x14ac:dyDescent="0.3">
      <c r="C38" s="15"/>
      <c r="D38" s="15"/>
      <c r="E38" s="15"/>
      <c r="F38" s="15"/>
      <c r="G38" s="15"/>
      <c r="H38" s="15"/>
      <c r="I38" s="15"/>
      <c r="J38" s="15"/>
      <c r="K38" s="15"/>
      <c r="L38" s="15"/>
    </row>
    <row r="39" spans="3:12" x14ac:dyDescent="0.3">
      <c r="C39" s="15"/>
      <c r="D39" s="15"/>
      <c r="E39" s="15"/>
      <c r="F39" s="15"/>
      <c r="G39" s="15"/>
      <c r="H39" s="15"/>
      <c r="I39" s="15"/>
      <c r="J39" s="15"/>
      <c r="K39" s="15"/>
      <c r="L39" s="15"/>
    </row>
    <row r="40" spans="3:12" x14ac:dyDescent="0.3">
      <c r="C40" s="15"/>
      <c r="D40" s="15"/>
      <c r="E40" s="15"/>
      <c r="F40" s="15"/>
      <c r="G40" s="15"/>
      <c r="H40" s="15"/>
      <c r="I40" s="15"/>
      <c r="J40" s="15"/>
      <c r="K40" s="15"/>
      <c r="L40" s="15"/>
    </row>
    <row r="41" spans="3:12" x14ac:dyDescent="0.3">
      <c r="C41" s="15"/>
      <c r="D41" s="15"/>
      <c r="E41" s="15"/>
      <c r="F41" s="15"/>
      <c r="G41" s="15"/>
      <c r="H41" s="15"/>
      <c r="I41" s="15"/>
      <c r="J41" s="15"/>
      <c r="K41" s="15"/>
      <c r="L41" s="15"/>
    </row>
    <row r="42" spans="3:12" x14ac:dyDescent="0.3">
      <c r="C42" s="15"/>
      <c r="D42" s="15"/>
      <c r="E42" s="15"/>
      <c r="F42" s="15"/>
      <c r="G42" s="15"/>
      <c r="H42" s="15"/>
      <c r="I42" s="15"/>
      <c r="J42" s="15"/>
      <c r="K42" s="15"/>
      <c r="L42" s="15"/>
    </row>
    <row r="43" spans="3:12" x14ac:dyDescent="0.3">
      <c r="C43" s="15"/>
      <c r="D43" s="15"/>
      <c r="E43" s="15"/>
      <c r="F43" s="15"/>
      <c r="G43" s="15"/>
      <c r="H43" s="15"/>
      <c r="I43" s="15"/>
      <c r="J43" s="15"/>
      <c r="K43" s="15"/>
      <c r="L43" s="15"/>
    </row>
    <row r="44" spans="3:12" x14ac:dyDescent="0.3">
      <c r="C44" s="15"/>
      <c r="D44" s="15"/>
      <c r="E44" s="15"/>
      <c r="F44" s="15"/>
      <c r="G44" s="15"/>
      <c r="H44" s="15"/>
      <c r="I44" s="15"/>
      <c r="J44" s="15"/>
      <c r="K44" s="15"/>
      <c r="L44" s="15"/>
    </row>
    <row r="45" spans="3:12" x14ac:dyDescent="0.3">
      <c r="C45" s="15"/>
      <c r="D45" s="15"/>
      <c r="E45" s="15"/>
      <c r="F45" s="15"/>
      <c r="G45" s="15"/>
      <c r="H45" s="15"/>
      <c r="I45" s="15"/>
      <c r="J45" s="15"/>
      <c r="K45" s="15"/>
      <c r="L45" s="15"/>
    </row>
    <row r="46" spans="3:12" x14ac:dyDescent="0.3">
      <c r="C46" s="15"/>
      <c r="D46" s="15"/>
      <c r="E46" s="15"/>
      <c r="F46" s="15"/>
      <c r="G46" s="15"/>
      <c r="H46" s="15"/>
      <c r="I46" s="15"/>
      <c r="J46" s="15"/>
      <c r="K46" s="15"/>
      <c r="L46" s="15"/>
    </row>
    <row r="47" spans="3:12" x14ac:dyDescent="0.3">
      <c r="C47" s="15"/>
      <c r="D47" s="15"/>
      <c r="E47" s="15"/>
      <c r="F47" s="15"/>
      <c r="G47" s="15"/>
      <c r="H47" s="15"/>
      <c r="I47" s="15"/>
      <c r="J47" s="15"/>
      <c r="K47" s="15"/>
      <c r="L47" s="15"/>
    </row>
    <row r="48" spans="3:12" x14ac:dyDescent="0.3">
      <c r="C48" s="15"/>
      <c r="D48" s="15"/>
      <c r="E48" s="15"/>
      <c r="F48" s="15"/>
      <c r="G48" s="15"/>
      <c r="H48" s="15"/>
      <c r="I48" s="15"/>
      <c r="J48" s="15"/>
      <c r="K48" s="15"/>
      <c r="L48" s="15"/>
    </row>
    <row r="49" spans="2:13" x14ac:dyDescent="0.3">
      <c r="C49" s="15"/>
      <c r="D49" s="15"/>
      <c r="E49" s="15"/>
      <c r="F49" s="15"/>
      <c r="G49" s="15"/>
      <c r="H49" s="15"/>
      <c r="I49" s="15"/>
      <c r="J49" s="15"/>
      <c r="K49" s="15"/>
      <c r="L49" s="15"/>
    </row>
    <row r="50" spans="2:13" x14ac:dyDescent="0.3">
      <c r="C50" s="15"/>
      <c r="D50" s="15"/>
      <c r="E50" s="15"/>
      <c r="F50" s="15"/>
      <c r="G50" s="15"/>
      <c r="H50" s="15"/>
      <c r="I50" s="15"/>
      <c r="J50" s="15"/>
      <c r="K50" s="15"/>
      <c r="L50" s="15"/>
    </row>
    <row r="51" spans="2:13" x14ac:dyDescent="0.3">
      <c r="C51" s="15"/>
      <c r="D51" s="15"/>
      <c r="E51" s="15"/>
      <c r="F51" s="15"/>
      <c r="G51" s="15"/>
      <c r="H51" s="15"/>
      <c r="I51" s="15"/>
      <c r="J51" s="15"/>
      <c r="K51" s="15"/>
      <c r="L51" s="15"/>
    </row>
    <row r="52" spans="2:13" x14ac:dyDescent="0.3">
      <c r="C52" s="15"/>
      <c r="D52" s="15"/>
      <c r="E52" s="15"/>
      <c r="F52" s="15"/>
      <c r="G52" s="15"/>
      <c r="H52" s="15"/>
      <c r="I52" s="15"/>
      <c r="J52" s="15"/>
      <c r="K52" s="15"/>
      <c r="L52" s="15"/>
    </row>
    <row r="53" spans="2:13" x14ac:dyDescent="0.3">
      <c r="C53" s="15"/>
      <c r="D53" s="15"/>
      <c r="E53" s="15"/>
      <c r="F53" s="15"/>
      <c r="G53" s="15"/>
      <c r="H53" s="15"/>
      <c r="I53" s="15"/>
      <c r="J53" s="15"/>
      <c r="K53" s="15"/>
      <c r="L53" s="15"/>
    </row>
    <row r="54" spans="2:13" x14ac:dyDescent="0.3">
      <c r="C54" s="15"/>
      <c r="D54" s="15"/>
      <c r="E54" s="15"/>
      <c r="F54" s="15"/>
      <c r="G54" s="15"/>
      <c r="H54" s="15"/>
      <c r="I54" s="15"/>
      <c r="J54" s="15"/>
      <c r="K54" s="15"/>
      <c r="L54" s="15"/>
    </row>
    <row r="55" spans="2:13" x14ac:dyDescent="0.3">
      <c r="C55" s="15"/>
      <c r="D55" s="15"/>
      <c r="E55" s="15"/>
      <c r="F55" s="15"/>
      <c r="G55" s="15"/>
      <c r="H55" s="15"/>
      <c r="I55" s="15"/>
      <c r="J55" s="15"/>
      <c r="K55" s="15"/>
      <c r="L55" s="15"/>
    </row>
    <row r="56" spans="2:13" x14ac:dyDescent="0.3">
      <c r="C56" s="15"/>
      <c r="D56" s="15"/>
      <c r="E56" s="15"/>
      <c r="F56" s="15"/>
      <c r="G56" s="15"/>
      <c r="H56" s="15"/>
      <c r="I56" s="15"/>
      <c r="J56" s="15"/>
      <c r="K56" s="15"/>
      <c r="L56" s="15"/>
    </row>
    <row r="57" spans="2:13" x14ac:dyDescent="0.3">
      <c r="C57" s="15"/>
      <c r="D57" s="15"/>
      <c r="E57" s="15"/>
      <c r="F57" s="15"/>
      <c r="G57" s="15"/>
      <c r="H57" s="15"/>
      <c r="I57" s="15"/>
      <c r="J57" s="15"/>
      <c r="K57" s="15"/>
      <c r="L57" s="15"/>
    </row>
    <row r="58" spans="2:13" ht="15" thickBot="1" x14ac:dyDescent="0.35">
      <c r="C58" s="15" t="s">
        <v>11</v>
      </c>
      <c r="D58" s="15" t="s">
        <v>12</v>
      </c>
      <c r="E58" s="15" t="s">
        <v>13</v>
      </c>
      <c r="F58" s="15" t="s">
        <v>14</v>
      </c>
      <c r="G58" s="15" t="s">
        <v>15</v>
      </c>
      <c r="H58" s="15" t="s">
        <v>16</v>
      </c>
      <c r="I58" s="15" t="s">
        <v>17</v>
      </c>
      <c r="J58" s="15" t="s">
        <v>18</v>
      </c>
      <c r="K58" s="15" t="s">
        <v>19</v>
      </c>
      <c r="L58" s="15" t="s">
        <v>20</v>
      </c>
      <c r="M58" s="15" t="s">
        <v>0</v>
      </c>
    </row>
    <row r="59" spans="2:13" x14ac:dyDescent="0.3">
      <c r="B59" s="157" t="s">
        <v>185</v>
      </c>
      <c r="C59" s="158">
        <f>26929*1.15</f>
        <v>30968.35</v>
      </c>
      <c r="D59" s="158"/>
      <c r="E59" s="158"/>
      <c r="F59" s="158"/>
      <c r="G59" s="158"/>
      <c r="H59" s="158"/>
      <c r="I59" s="158"/>
      <c r="J59" s="158"/>
      <c r="K59" s="158"/>
      <c r="L59" s="158"/>
      <c r="M59" s="159">
        <f t="shared" ref="M59:M68" si="0">SUM(C59:L59)</f>
        <v>30968.35</v>
      </c>
    </row>
    <row r="60" spans="2:13" x14ac:dyDescent="0.3">
      <c r="B60" s="160" t="s">
        <v>184</v>
      </c>
      <c r="C60" s="161">
        <f>24500*1.15</f>
        <v>28174.999999999996</v>
      </c>
      <c r="D60" s="161"/>
      <c r="E60" s="161"/>
      <c r="F60" s="161"/>
      <c r="G60" s="161"/>
      <c r="H60" s="161"/>
      <c r="I60" s="161"/>
      <c r="J60" s="161"/>
      <c r="K60" s="161"/>
      <c r="L60" s="161"/>
      <c r="M60" s="162">
        <f t="shared" si="0"/>
        <v>28174.999999999996</v>
      </c>
    </row>
    <row r="61" spans="2:13" x14ac:dyDescent="0.3">
      <c r="B61" s="160" t="s">
        <v>183</v>
      </c>
      <c r="C61" s="161"/>
      <c r="D61" s="161"/>
      <c r="E61" s="161"/>
      <c r="F61" s="161"/>
      <c r="G61" s="161"/>
      <c r="H61" s="161"/>
      <c r="I61" s="161"/>
      <c r="J61" s="161"/>
      <c r="K61" s="161"/>
      <c r="L61" s="161"/>
      <c r="M61" s="162">
        <f t="shared" si="0"/>
        <v>0</v>
      </c>
    </row>
    <row r="62" spans="2:13" x14ac:dyDescent="0.3">
      <c r="B62" s="160" t="s">
        <v>182</v>
      </c>
      <c r="C62" s="161">
        <f>21000*1.15</f>
        <v>24149.999999999996</v>
      </c>
      <c r="D62" s="161"/>
      <c r="E62" s="161"/>
      <c r="F62" s="161"/>
      <c r="G62" s="161"/>
      <c r="H62" s="161"/>
      <c r="I62" s="161"/>
      <c r="J62" s="161"/>
      <c r="K62" s="161"/>
      <c r="L62" s="161"/>
      <c r="M62" s="162">
        <f t="shared" si="0"/>
        <v>24149.999999999996</v>
      </c>
    </row>
    <row r="63" spans="2:13" x14ac:dyDescent="0.3">
      <c r="B63" s="160" t="s">
        <v>181</v>
      </c>
      <c r="C63" s="161">
        <f>(44500+1900-8000)*1.15</f>
        <v>44160</v>
      </c>
      <c r="D63" s="161"/>
      <c r="E63" s="161"/>
      <c r="F63" s="161"/>
      <c r="G63" s="161"/>
      <c r="H63" s="161"/>
      <c r="I63" s="161"/>
      <c r="J63" s="161"/>
      <c r="K63" s="161"/>
      <c r="L63" s="161"/>
      <c r="M63" s="162">
        <f t="shared" si="0"/>
        <v>44160</v>
      </c>
    </row>
    <row r="64" spans="2:13" x14ac:dyDescent="0.3">
      <c r="B64" s="160" t="s">
        <v>197</v>
      </c>
      <c r="C64" s="161">
        <f>20000*0.01</f>
        <v>200</v>
      </c>
      <c r="D64" s="161">
        <f t="shared" ref="D64:L64" si="1">C64*$B$103</f>
        <v>204</v>
      </c>
      <c r="E64" s="161">
        <f t="shared" si="1"/>
        <v>208.08</v>
      </c>
      <c r="F64" s="161">
        <f t="shared" si="1"/>
        <v>212.24160000000001</v>
      </c>
      <c r="G64" s="161">
        <f t="shared" si="1"/>
        <v>216.48643200000001</v>
      </c>
      <c r="H64" s="161">
        <f t="shared" si="1"/>
        <v>220.81616064000002</v>
      </c>
      <c r="I64" s="161">
        <f t="shared" si="1"/>
        <v>225.23248385280002</v>
      </c>
      <c r="J64" s="161">
        <f t="shared" si="1"/>
        <v>229.73713352985601</v>
      </c>
      <c r="K64" s="161">
        <f t="shared" si="1"/>
        <v>234.33187620045314</v>
      </c>
      <c r="L64" s="161">
        <f t="shared" si="1"/>
        <v>239.0185137244622</v>
      </c>
      <c r="M64" s="162">
        <f t="shared" si="0"/>
        <v>2189.9441999475712</v>
      </c>
    </row>
    <row r="65" spans="2:13" ht="15" thickBot="1" x14ac:dyDescent="0.35">
      <c r="B65" s="163" t="s">
        <v>198</v>
      </c>
      <c r="C65" s="164">
        <v>75</v>
      </c>
      <c r="D65" s="164">
        <f t="shared" ref="D65:L65" si="2">C65*1.05</f>
        <v>78.75</v>
      </c>
      <c r="E65" s="164">
        <f t="shared" si="2"/>
        <v>82.6875</v>
      </c>
      <c r="F65" s="164">
        <f t="shared" si="2"/>
        <v>86.821875000000006</v>
      </c>
      <c r="G65" s="164">
        <f t="shared" si="2"/>
        <v>91.162968750000005</v>
      </c>
      <c r="H65" s="164">
        <f t="shared" si="2"/>
        <v>95.721117187500013</v>
      </c>
      <c r="I65" s="164">
        <f t="shared" si="2"/>
        <v>100.50717304687502</v>
      </c>
      <c r="J65" s="164">
        <f t="shared" si="2"/>
        <v>105.53253169921878</v>
      </c>
      <c r="K65" s="164">
        <f t="shared" si="2"/>
        <v>110.80915828417972</v>
      </c>
      <c r="L65" s="164">
        <f t="shared" si="2"/>
        <v>116.3496161983887</v>
      </c>
      <c r="M65" s="165">
        <f t="shared" si="0"/>
        <v>943.3419401661622</v>
      </c>
    </row>
    <row r="66" spans="2:13" x14ac:dyDescent="0.3">
      <c r="B66" s="149" t="s">
        <v>180</v>
      </c>
      <c r="C66" s="148">
        <f>21500*1.15</f>
        <v>24724.999999999996</v>
      </c>
      <c r="D66" s="148"/>
      <c r="E66" s="148"/>
      <c r="F66" s="148"/>
      <c r="G66" s="148"/>
      <c r="H66" s="148"/>
      <c r="I66" s="148"/>
      <c r="J66" s="148"/>
      <c r="K66" s="148"/>
      <c r="L66" s="148"/>
      <c r="M66" s="147">
        <f t="shared" si="0"/>
        <v>24724.999999999996</v>
      </c>
    </row>
    <row r="67" spans="2:13" x14ac:dyDescent="0.3">
      <c r="B67" s="149" t="s">
        <v>199</v>
      </c>
      <c r="C67" s="148">
        <f>C6*52</f>
        <v>2600</v>
      </c>
      <c r="D67" s="148">
        <f t="shared" ref="D67:L67" si="3">C67*1.05</f>
        <v>2730</v>
      </c>
      <c r="E67" s="148">
        <f t="shared" si="3"/>
        <v>2866.5</v>
      </c>
      <c r="F67" s="148">
        <f t="shared" si="3"/>
        <v>3009.8250000000003</v>
      </c>
      <c r="G67" s="148">
        <f t="shared" si="3"/>
        <v>3160.3162500000003</v>
      </c>
      <c r="H67" s="148">
        <f t="shared" si="3"/>
        <v>3318.3320625000006</v>
      </c>
      <c r="I67" s="148">
        <f t="shared" si="3"/>
        <v>3484.2486656250007</v>
      </c>
      <c r="J67" s="148">
        <f t="shared" si="3"/>
        <v>3658.4610989062508</v>
      </c>
      <c r="K67" s="148">
        <f t="shared" si="3"/>
        <v>3841.3841538515635</v>
      </c>
      <c r="L67" s="148">
        <f t="shared" si="3"/>
        <v>4033.4533615441419</v>
      </c>
      <c r="M67" s="147">
        <f t="shared" si="0"/>
        <v>32702.520592426958</v>
      </c>
    </row>
    <row r="68" spans="2:13" ht="15" thickBot="1" x14ac:dyDescent="0.35">
      <c r="B68" s="146" t="s">
        <v>200</v>
      </c>
      <c r="C68" s="145">
        <v>300</v>
      </c>
      <c r="D68" s="145">
        <f t="shared" ref="D68:L68" si="4">C68*1.15</f>
        <v>345</v>
      </c>
      <c r="E68" s="145">
        <f t="shared" si="4"/>
        <v>396.74999999999994</v>
      </c>
      <c r="F68" s="145">
        <f t="shared" si="4"/>
        <v>456.26249999999987</v>
      </c>
      <c r="G68" s="145">
        <f t="shared" si="4"/>
        <v>524.70187499999986</v>
      </c>
      <c r="H68" s="145">
        <f t="shared" si="4"/>
        <v>603.40715624999984</v>
      </c>
      <c r="I68" s="145">
        <f t="shared" si="4"/>
        <v>693.91822968749977</v>
      </c>
      <c r="J68" s="145">
        <f t="shared" si="4"/>
        <v>798.00596414062466</v>
      </c>
      <c r="K68" s="145">
        <f t="shared" si="4"/>
        <v>917.70685876171831</v>
      </c>
      <c r="L68" s="145">
        <f t="shared" si="4"/>
        <v>1055.3628875759759</v>
      </c>
      <c r="M68" s="144">
        <f t="shared" si="0"/>
        <v>6091.1154714158183</v>
      </c>
    </row>
    <row r="69" spans="2:13" x14ac:dyDescent="0.3">
      <c r="B69" s="166" t="s">
        <v>179</v>
      </c>
      <c r="C69" s="158">
        <f t="shared" ref="C69:M69" si="5">C59+C$64+C$65</f>
        <v>31243.35</v>
      </c>
      <c r="D69" s="158">
        <f t="shared" si="5"/>
        <v>282.75</v>
      </c>
      <c r="E69" s="158">
        <f t="shared" si="5"/>
        <v>290.76750000000004</v>
      </c>
      <c r="F69" s="158">
        <f t="shared" si="5"/>
        <v>299.06347500000004</v>
      </c>
      <c r="G69" s="158">
        <f t="shared" si="5"/>
        <v>307.64940075000004</v>
      </c>
      <c r="H69" s="158">
        <f t="shared" si="5"/>
        <v>316.53727782750002</v>
      </c>
      <c r="I69" s="158">
        <f t="shared" si="5"/>
        <v>325.73965689967503</v>
      </c>
      <c r="J69" s="158">
        <f t="shared" si="5"/>
        <v>335.2696652290748</v>
      </c>
      <c r="K69" s="158">
        <f t="shared" si="5"/>
        <v>345.14103448463288</v>
      </c>
      <c r="L69" s="158">
        <f t="shared" si="5"/>
        <v>355.36812992285093</v>
      </c>
      <c r="M69" s="167">
        <f t="shared" si="5"/>
        <v>34101.636140113733</v>
      </c>
    </row>
    <row r="70" spans="2:13" ht="16.8" customHeight="1" x14ac:dyDescent="0.3">
      <c r="B70" s="168" t="s">
        <v>178</v>
      </c>
      <c r="C70" s="161">
        <f t="shared" ref="C70:M70" si="6">C60+C$64+C65</f>
        <v>28449.999999999996</v>
      </c>
      <c r="D70" s="161">
        <f t="shared" si="6"/>
        <v>282.75</v>
      </c>
      <c r="E70" s="161">
        <f t="shared" si="6"/>
        <v>290.76750000000004</v>
      </c>
      <c r="F70" s="161">
        <f t="shared" si="6"/>
        <v>299.06347500000004</v>
      </c>
      <c r="G70" s="161">
        <f t="shared" si="6"/>
        <v>307.64940075000004</v>
      </c>
      <c r="H70" s="161">
        <f t="shared" si="6"/>
        <v>316.53727782750002</v>
      </c>
      <c r="I70" s="161">
        <f t="shared" si="6"/>
        <v>325.73965689967503</v>
      </c>
      <c r="J70" s="161">
        <f t="shared" si="6"/>
        <v>335.2696652290748</v>
      </c>
      <c r="K70" s="161">
        <f t="shared" si="6"/>
        <v>345.14103448463288</v>
      </c>
      <c r="L70" s="161">
        <f t="shared" si="6"/>
        <v>355.36812992285093</v>
      </c>
      <c r="M70" s="169">
        <f t="shared" si="6"/>
        <v>31308.286140113731</v>
      </c>
    </row>
    <row r="71" spans="2:13" ht="16.8" customHeight="1" x14ac:dyDescent="0.3">
      <c r="B71" s="168" t="s">
        <v>177</v>
      </c>
      <c r="C71" s="161">
        <f t="shared" ref="C71:M71" si="7">C61+C$64+C65</f>
        <v>275</v>
      </c>
      <c r="D71" s="161">
        <f t="shared" si="7"/>
        <v>282.75</v>
      </c>
      <c r="E71" s="161">
        <f t="shared" si="7"/>
        <v>290.76750000000004</v>
      </c>
      <c r="F71" s="161">
        <f t="shared" si="7"/>
        <v>299.06347500000004</v>
      </c>
      <c r="G71" s="161">
        <f t="shared" si="7"/>
        <v>307.64940075000004</v>
      </c>
      <c r="H71" s="161">
        <f t="shared" si="7"/>
        <v>316.53727782750002</v>
      </c>
      <c r="I71" s="161">
        <f t="shared" si="7"/>
        <v>325.73965689967503</v>
      </c>
      <c r="J71" s="161">
        <f t="shared" si="7"/>
        <v>335.2696652290748</v>
      </c>
      <c r="K71" s="161">
        <f t="shared" si="7"/>
        <v>345.14103448463288</v>
      </c>
      <c r="L71" s="161">
        <f t="shared" si="7"/>
        <v>355.36812992285093</v>
      </c>
      <c r="M71" s="169">
        <f t="shared" si="7"/>
        <v>3133.2861401137334</v>
      </c>
    </row>
    <row r="72" spans="2:13" ht="16.8" customHeight="1" x14ac:dyDescent="0.3">
      <c r="B72" s="168" t="s">
        <v>176</v>
      </c>
      <c r="C72" s="161">
        <f t="shared" ref="C72:M72" si="8">C62+C$64+C65</f>
        <v>24424.999999999996</v>
      </c>
      <c r="D72" s="161">
        <f t="shared" si="8"/>
        <v>282.75</v>
      </c>
      <c r="E72" s="161">
        <f t="shared" si="8"/>
        <v>290.76750000000004</v>
      </c>
      <c r="F72" s="161">
        <f t="shared" si="8"/>
        <v>299.06347500000004</v>
      </c>
      <c r="G72" s="161">
        <f t="shared" si="8"/>
        <v>307.64940075000004</v>
      </c>
      <c r="H72" s="161">
        <f t="shared" si="8"/>
        <v>316.53727782750002</v>
      </c>
      <c r="I72" s="161">
        <f t="shared" si="8"/>
        <v>325.73965689967503</v>
      </c>
      <c r="J72" s="161">
        <f t="shared" si="8"/>
        <v>335.2696652290748</v>
      </c>
      <c r="K72" s="161">
        <f t="shared" si="8"/>
        <v>345.14103448463288</v>
      </c>
      <c r="L72" s="161">
        <f t="shared" si="8"/>
        <v>355.36812992285093</v>
      </c>
      <c r="M72" s="169">
        <f t="shared" si="8"/>
        <v>27283.286140113731</v>
      </c>
    </row>
    <row r="73" spans="2:13" ht="16.8" customHeight="1" thickBot="1" x14ac:dyDescent="0.35">
      <c r="B73" s="170" t="s">
        <v>175</v>
      </c>
      <c r="C73" s="164">
        <f t="shared" ref="C73:M73" si="9">C63+C64+C65</f>
        <v>44435</v>
      </c>
      <c r="D73" s="164">
        <f t="shared" si="9"/>
        <v>282.75</v>
      </c>
      <c r="E73" s="164">
        <f t="shared" si="9"/>
        <v>290.76750000000004</v>
      </c>
      <c r="F73" s="164">
        <f t="shared" si="9"/>
        <v>299.06347500000004</v>
      </c>
      <c r="G73" s="164">
        <f t="shared" si="9"/>
        <v>307.64940075000004</v>
      </c>
      <c r="H73" s="164">
        <f t="shared" si="9"/>
        <v>316.53727782750002</v>
      </c>
      <c r="I73" s="164">
        <f t="shared" si="9"/>
        <v>325.73965689967503</v>
      </c>
      <c r="J73" s="164">
        <f t="shared" si="9"/>
        <v>335.2696652290748</v>
      </c>
      <c r="K73" s="164">
        <f t="shared" si="9"/>
        <v>345.14103448463288</v>
      </c>
      <c r="L73" s="164">
        <f t="shared" si="9"/>
        <v>355.36812992285093</v>
      </c>
      <c r="M73" s="171">
        <f t="shared" si="9"/>
        <v>47293.286140113727</v>
      </c>
    </row>
    <row r="74" spans="2:13" ht="16.8" customHeight="1" thickBot="1" x14ac:dyDescent="0.35">
      <c r="B74" s="143" t="s">
        <v>174</v>
      </c>
      <c r="C74" s="142">
        <f t="shared" ref="C74:M74" si="10">C66+C67+C68</f>
        <v>27624.999999999996</v>
      </c>
      <c r="D74" s="142">
        <f t="shared" si="10"/>
        <v>3075</v>
      </c>
      <c r="E74" s="142">
        <f t="shared" si="10"/>
        <v>3263.25</v>
      </c>
      <c r="F74" s="142">
        <f t="shared" si="10"/>
        <v>3466.0875000000001</v>
      </c>
      <c r="G74" s="142">
        <f t="shared" si="10"/>
        <v>3685.0181250000001</v>
      </c>
      <c r="H74" s="142">
        <f t="shared" si="10"/>
        <v>3921.7392187500004</v>
      </c>
      <c r="I74" s="142">
        <f t="shared" si="10"/>
        <v>4178.1668953125009</v>
      </c>
      <c r="J74" s="142">
        <f t="shared" si="10"/>
        <v>4456.4670630468754</v>
      </c>
      <c r="K74" s="142">
        <f t="shared" si="10"/>
        <v>4759.0910126132821</v>
      </c>
      <c r="L74" s="142">
        <f t="shared" si="10"/>
        <v>5088.8162491201183</v>
      </c>
      <c r="M74" s="155">
        <f t="shared" si="10"/>
        <v>63518.636063842772</v>
      </c>
    </row>
    <row r="75" spans="2:13" ht="16.8" customHeight="1" x14ac:dyDescent="0.3">
      <c r="B75" s="166" t="s">
        <v>173</v>
      </c>
      <c r="C75" s="158">
        <f t="shared" ref="C75:C79" si="11">C69</f>
        <v>31243.35</v>
      </c>
      <c r="D75" s="158">
        <f t="shared" ref="D75:L78" si="12">D69+C75</f>
        <v>31526.1</v>
      </c>
      <c r="E75" s="158">
        <f t="shared" si="12"/>
        <v>31816.8675</v>
      </c>
      <c r="F75" s="158">
        <f t="shared" si="12"/>
        <v>32115.930974999999</v>
      </c>
      <c r="G75" s="158">
        <f t="shared" si="12"/>
        <v>32423.58037575</v>
      </c>
      <c r="H75" s="158">
        <f t="shared" si="12"/>
        <v>32740.117653577501</v>
      </c>
      <c r="I75" s="158">
        <f t="shared" si="12"/>
        <v>33065.857310477179</v>
      </c>
      <c r="J75" s="158">
        <f t="shared" si="12"/>
        <v>33401.126975706255</v>
      </c>
      <c r="K75" s="158">
        <f t="shared" si="12"/>
        <v>33746.268010190885</v>
      </c>
      <c r="L75" s="158">
        <f t="shared" si="12"/>
        <v>34101.636140113733</v>
      </c>
      <c r="M75" s="167">
        <f t="shared" ref="M75:M82" si="13">L75</f>
        <v>34101.636140113733</v>
      </c>
    </row>
    <row r="76" spans="2:13" ht="16.8" customHeight="1" x14ac:dyDescent="0.3">
      <c r="B76" s="168" t="s">
        <v>172</v>
      </c>
      <c r="C76" s="161">
        <f t="shared" si="11"/>
        <v>28449.999999999996</v>
      </c>
      <c r="D76" s="161">
        <f t="shared" si="12"/>
        <v>28732.749999999996</v>
      </c>
      <c r="E76" s="161">
        <f t="shared" si="12"/>
        <v>29023.517499999998</v>
      </c>
      <c r="F76" s="161">
        <f t="shared" si="12"/>
        <v>29322.580974999997</v>
      </c>
      <c r="G76" s="161">
        <f t="shared" si="12"/>
        <v>29630.230375749998</v>
      </c>
      <c r="H76" s="161">
        <f t="shared" si="12"/>
        <v>29946.767653577499</v>
      </c>
      <c r="I76" s="161">
        <f t="shared" si="12"/>
        <v>30272.507310477173</v>
      </c>
      <c r="J76" s="161">
        <f t="shared" si="12"/>
        <v>30607.776975706249</v>
      </c>
      <c r="K76" s="161">
        <f t="shared" si="12"/>
        <v>30952.918010190882</v>
      </c>
      <c r="L76" s="161">
        <f t="shared" si="12"/>
        <v>31308.286140113734</v>
      </c>
      <c r="M76" s="169">
        <f t="shared" si="13"/>
        <v>31308.286140113734</v>
      </c>
    </row>
    <row r="77" spans="2:13" ht="16.8" customHeight="1" x14ac:dyDescent="0.3">
      <c r="B77" s="168" t="s">
        <v>171</v>
      </c>
      <c r="C77" s="161">
        <f t="shared" si="11"/>
        <v>275</v>
      </c>
      <c r="D77" s="161">
        <f t="shared" si="12"/>
        <v>557.75</v>
      </c>
      <c r="E77" s="161">
        <f t="shared" si="12"/>
        <v>848.51750000000004</v>
      </c>
      <c r="F77" s="161">
        <f t="shared" si="12"/>
        <v>1147.5809750000001</v>
      </c>
      <c r="G77" s="161">
        <f t="shared" si="12"/>
        <v>1455.2303757500001</v>
      </c>
      <c r="H77" s="161">
        <f t="shared" si="12"/>
        <v>1771.7676535775001</v>
      </c>
      <c r="I77" s="161">
        <f t="shared" si="12"/>
        <v>2097.507310477175</v>
      </c>
      <c r="J77" s="161">
        <f t="shared" si="12"/>
        <v>2432.7769757062497</v>
      </c>
      <c r="K77" s="161">
        <f t="shared" si="12"/>
        <v>2777.9180101908823</v>
      </c>
      <c r="L77" s="161">
        <f t="shared" si="12"/>
        <v>3133.2861401137334</v>
      </c>
      <c r="M77" s="169">
        <f t="shared" si="13"/>
        <v>3133.2861401137334</v>
      </c>
    </row>
    <row r="78" spans="2:13" ht="16.8" customHeight="1" x14ac:dyDescent="0.3">
      <c r="B78" s="168" t="s">
        <v>170</v>
      </c>
      <c r="C78" s="161">
        <f t="shared" si="11"/>
        <v>24424.999999999996</v>
      </c>
      <c r="D78" s="161">
        <f t="shared" si="12"/>
        <v>24707.749999999996</v>
      </c>
      <c r="E78" s="161">
        <f t="shared" si="12"/>
        <v>24998.517499999998</v>
      </c>
      <c r="F78" s="161">
        <f t="shared" si="12"/>
        <v>25297.580974999997</v>
      </c>
      <c r="G78" s="161">
        <f t="shared" si="12"/>
        <v>25605.230375749998</v>
      </c>
      <c r="H78" s="161">
        <f t="shared" si="12"/>
        <v>25921.767653577499</v>
      </c>
      <c r="I78" s="161">
        <f t="shared" si="12"/>
        <v>26247.507310477173</v>
      </c>
      <c r="J78" s="161">
        <f t="shared" si="12"/>
        <v>26582.776975706249</v>
      </c>
      <c r="K78" s="161">
        <f t="shared" si="12"/>
        <v>26927.918010190882</v>
      </c>
      <c r="L78" s="161">
        <f t="shared" si="12"/>
        <v>27283.286140113734</v>
      </c>
      <c r="M78" s="169">
        <f t="shared" si="13"/>
        <v>27283.286140113734</v>
      </c>
    </row>
    <row r="79" spans="2:13" ht="16.8" customHeight="1" thickBot="1" x14ac:dyDescent="0.35">
      <c r="B79" s="170" t="s">
        <v>169</v>
      </c>
      <c r="C79" s="164">
        <f t="shared" si="11"/>
        <v>44435</v>
      </c>
      <c r="D79" s="164">
        <f t="shared" ref="D79:L79" si="14">C79+D73</f>
        <v>44717.75</v>
      </c>
      <c r="E79" s="164">
        <f t="shared" si="14"/>
        <v>45008.517500000002</v>
      </c>
      <c r="F79" s="164">
        <f t="shared" si="14"/>
        <v>45307.580975000004</v>
      </c>
      <c r="G79" s="164">
        <f t="shared" si="14"/>
        <v>45615.230375750005</v>
      </c>
      <c r="H79" s="164">
        <f t="shared" si="14"/>
        <v>45931.767653577503</v>
      </c>
      <c r="I79" s="164">
        <f t="shared" si="14"/>
        <v>46257.50731047718</v>
      </c>
      <c r="J79" s="164">
        <f t="shared" si="14"/>
        <v>46592.776975706256</v>
      </c>
      <c r="K79" s="164">
        <f t="shared" si="14"/>
        <v>46937.918010190886</v>
      </c>
      <c r="L79" s="164">
        <f t="shared" si="14"/>
        <v>47293.286140113734</v>
      </c>
      <c r="M79" s="171">
        <f t="shared" si="13"/>
        <v>47293.286140113734</v>
      </c>
    </row>
    <row r="80" spans="2:13" ht="16.8" customHeight="1" thickBot="1" x14ac:dyDescent="0.35">
      <c r="B80" s="170" t="s">
        <v>215</v>
      </c>
      <c r="C80" s="164">
        <f>C64</f>
        <v>200</v>
      </c>
      <c r="D80" s="164">
        <f>C80+D64</f>
        <v>404</v>
      </c>
      <c r="E80" s="164">
        <f t="shared" ref="E80:L80" si="15">D80+E64</f>
        <v>612.08000000000004</v>
      </c>
      <c r="F80" s="164">
        <f t="shared" si="15"/>
        <v>824.32159999999999</v>
      </c>
      <c r="G80" s="164">
        <f t="shared" si="15"/>
        <v>1040.8080319999999</v>
      </c>
      <c r="H80" s="164">
        <f t="shared" si="15"/>
        <v>1261.6241926399998</v>
      </c>
      <c r="I80" s="164">
        <f t="shared" si="15"/>
        <v>1486.8566764927998</v>
      </c>
      <c r="J80" s="164">
        <f t="shared" si="15"/>
        <v>1716.5938100226558</v>
      </c>
      <c r="K80" s="164">
        <f t="shared" si="15"/>
        <v>1950.9256862231089</v>
      </c>
      <c r="L80" s="164">
        <f t="shared" si="15"/>
        <v>2189.9441999475712</v>
      </c>
      <c r="M80" s="171">
        <f>L80</f>
        <v>2189.9441999475712</v>
      </c>
    </row>
    <row r="81" spans="2:13" ht="16.8" customHeight="1" thickBot="1" x14ac:dyDescent="0.35">
      <c r="B81" s="143" t="s">
        <v>216</v>
      </c>
      <c r="C81" s="142">
        <f>C67</f>
        <v>2600</v>
      </c>
      <c r="D81" s="142">
        <f>D67+C81</f>
        <v>5330</v>
      </c>
      <c r="E81" s="142">
        <f t="shared" ref="E81:L81" si="16">E67+D81</f>
        <v>8196.5</v>
      </c>
      <c r="F81" s="142">
        <f t="shared" si="16"/>
        <v>11206.325000000001</v>
      </c>
      <c r="G81" s="142">
        <f t="shared" si="16"/>
        <v>14366.641250000001</v>
      </c>
      <c r="H81" s="142">
        <f t="shared" si="16"/>
        <v>17684.973312500002</v>
      </c>
      <c r="I81" s="142">
        <f t="shared" si="16"/>
        <v>21169.221978125002</v>
      </c>
      <c r="J81" s="182">
        <f t="shared" si="16"/>
        <v>24827.683077031252</v>
      </c>
      <c r="K81" s="182">
        <f t="shared" si="16"/>
        <v>28669.067230882814</v>
      </c>
      <c r="L81" s="182">
        <f t="shared" si="16"/>
        <v>32702.520592426958</v>
      </c>
      <c r="M81" s="183">
        <f>L81</f>
        <v>32702.520592426958</v>
      </c>
    </row>
    <row r="82" spans="2:13" ht="16.8" customHeight="1" thickBot="1" x14ac:dyDescent="0.35">
      <c r="B82" s="143" t="s">
        <v>189</v>
      </c>
      <c r="C82" s="142">
        <f>C74</f>
        <v>27624.999999999996</v>
      </c>
      <c r="D82" s="142">
        <f t="shared" ref="D82:L82" si="17">D74+C82</f>
        <v>30699.999999999996</v>
      </c>
      <c r="E82" s="142">
        <f t="shared" si="17"/>
        <v>33963.25</v>
      </c>
      <c r="F82" s="142">
        <f t="shared" si="17"/>
        <v>37429.337500000001</v>
      </c>
      <c r="G82" s="142">
        <f t="shared" si="17"/>
        <v>41114.355625000004</v>
      </c>
      <c r="H82" s="142">
        <f t="shared" si="17"/>
        <v>45036.094843750005</v>
      </c>
      <c r="I82" s="142">
        <f t="shared" si="17"/>
        <v>49214.261739062509</v>
      </c>
      <c r="J82" s="182">
        <f t="shared" si="17"/>
        <v>53670.728802109385</v>
      </c>
      <c r="K82" s="182">
        <f t="shared" si="17"/>
        <v>58429.819814722665</v>
      </c>
      <c r="L82" s="182">
        <f t="shared" si="17"/>
        <v>63518.636063842787</v>
      </c>
      <c r="M82" s="183">
        <f t="shared" si="13"/>
        <v>63518.636063842787</v>
      </c>
    </row>
    <row r="83" spans="2:13" ht="16.8" customHeight="1" x14ac:dyDescent="0.3">
      <c r="B83" s="166" t="s">
        <v>168</v>
      </c>
      <c r="C83" s="158">
        <f t="shared" ref="C83:L83" si="18">C69/12</f>
        <v>2603.6124999999997</v>
      </c>
      <c r="D83" s="158">
        <f t="shared" si="18"/>
        <v>23.5625</v>
      </c>
      <c r="E83" s="158">
        <f t="shared" si="18"/>
        <v>24.230625000000003</v>
      </c>
      <c r="F83" s="158">
        <f t="shared" si="18"/>
        <v>24.921956250000004</v>
      </c>
      <c r="G83" s="158">
        <f t="shared" si="18"/>
        <v>25.637450062500005</v>
      </c>
      <c r="H83" s="158">
        <f t="shared" si="18"/>
        <v>26.378106485625</v>
      </c>
      <c r="I83" s="158">
        <f t="shared" si="18"/>
        <v>27.144971408306251</v>
      </c>
      <c r="J83" s="158">
        <f t="shared" si="18"/>
        <v>27.939138769089567</v>
      </c>
      <c r="K83" s="158">
        <f t="shared" si="18"/>
        <v>28.761752873719406</v>
      </c>
      <c r="L83" s="158">
        <f t="shared" si="18"/>
        <v>29.614010826904245</v>
      </c>
      <c r="M83" s="167"/>
    </row>
    <row r="84" spans="2:13" ht="16.8" customHeight="1" x14ac:dyDescent="0.3">
      <c r="B84" s="168" t="s">
        <v>167</v>
      </c>
      <c r="C84" s="161">
        <f t="shared" ref="C84:L84" si="19">C70/12</f>
        <v>2370.833333333333</v>
      </c>
      <c r="D84" s="161">
        <f t="shared" si="19"/>
        <v>23.5625</v>
      </c>
      <c r="E84" s="161">
        <f t="shared" si="19"/>
        <v>24.230625000000003</v>
      </c>
      <c r="F84" s="161">
        <f t="shared" si="19"/>
        <v>24.921956250000004</v>
      </c>
      <c r="G84" s="161">
        <f t="shared" si="19"/>
        <v>25.637450062500005</v>
      </c>
      <c r="H84" s="161">
        <f t="shared" si="19"/>
        <v>26.378106485625</v>
      </c>
      <c r="I84" s="161">
        <f t="shared" si="19"/>
        <v>27.144971408306251</v>
      </c>
      <c r="J84" s="161">
        <f t="shared" si="19"/>
        <v>27.939138769089567</v>
      </c>
      <c r="K84" s="161">
        <f t="shared" si="19"/>
        <v>28.761752873719406</v>
      </c>
      <c r="L84" s="161">
        <f t="shared" si="19"/>
        <v>29.614010826904245</v>
      </c>
      <c r="M84" s="169"/>
    </row>
    <row r="85" spans="2:13" ht="16.8" customHeight="1" x14ac:dyDescent="0.3">
      <c r="B85" s="168" t="s">
        <v>190</v>
      </c>
      <c r="C85" s="161">
        <f t="shared" ref="C85:L85" si="20">C71/12</f>
        <v>22.916666666666668</v>
      </c>
      <c r="D85" s="161">
        <f t="shared" si="20"/>
        <v>23.5625</v>
      </c>
      <c r="E85" s="161">
        <f t="shared" si="20"/>
        <v>24.230625000000003</v>
      </c>
      <c r="F85" s="161">
        <f t="shared" si="20"/>
        <v>24.921956250000004</v>
      </c>
      <c r="G85" s="161">
        <f t="shared" si="20"/>
        <v>25.637450062500005</v>
      </c>
      <c r="H85" s="161">
        <f t="shared" si="20"/>
        <v>26.378106485625</v>
      </c>
      <c r="I85" s="161">
        <f t="shared" si="20"/>
        <v>27.144971408306251</v>
      </c>
      <c r="J85" s="161">
        <f t="shared" si="20"/>
        <v>27.939138769089567</v>
      </c>
      <c r="K85" s="161">
        <f t="shared" si="20"/>
        <v>28.761752873719406</v>
      </c>
      <c r="L85" s="161">
        <f t="shared" si="20"/>
        <v>29.614010826904245</v>
      </c>
      <c r="M85" s="169"/>
    </row>
    <row r="86" spans="2:13" ht="16.8" customHeight="1" x14ac:dyDescent="0.3">
      <c r="B86" s="168" t="s">
        <v>191</v>
      </c>
      <c r="C86" s="161">
        <f t="shared" ref="C86:L86" si="21">C72/12</f>
        <v>2035.4166666666663</v>
      </c>
      <c r="D86" s="161">
        <f t="shared" si="21"/>
        <v>23.5625</v>
      </c>
      <c r="E86" s="161">
        <f t="shared" si="21"/>
        <v>24.230625000000003</v>
      </c>
      <c r="F86" s="161">
        <f t="shared" si="21"/>
        <v>24.921956250000004</v>
      </c>
      <c r="G86" s="161">
        <f t="shared" si="21"/>
        <v>25.637450062500005</v>
      </c>
      <c r="H86" s="161">
        <f t="shared" si="21"/>
        <v>26.378106485625</v>
      </c>
      <c r="I86" s="161">
        <f t="shared" si="21"/>
        <v>27.144971408306251</v>
      </c>
      <c r="J86" s="161">
        <f t="shared" si="21"/>
        <v>27.939138769089567</v>
      </c>
      <c r="K86" s="161">
        <f t="shared" si="21"/>
        <v>28.761752873719406</v>
      </c>
      <c r="L86" s="161">
        <f t="shared" si="21"/>
        <v>29.614010826904245</v>
      </c>
      <c r="M86" s="169"/>
    </row>
    <row r="87" spans="2:13" ht="16.8" customHeight="1" thickBot="1" x14ac:dyDescent="0.35">
      <c r="B87" s="170" t="s">
        <v>166</v>
      </c>
      <c r="C87" s="164">
        <f t="shared" ref="C87:L87" si="22">C73/12</f>
        <v>3702.9166666666665</v>
      </c>
      <c r="D87" s="164">
        <f t="shared" si="22"/>
        <v>23.5625</v>
      </c>
      <c r="E87" s="164">
        <f t="shared" si="22"/>
        <v>24.230625000000003</v>
      </c>
      <c r="F87" s="164">
        <f t="shared" si="22"/>
        <v>24.921956250000004</v>
      </c>
      <c r="G87" s="164">
        <f t="shared" si="22"/>
        <v>25.637450062500005</v>
      </c>
      <c r="H87" s="164">
        <f t="shared" si="22"/>
        <v>26.378106485625</v>
      </c>
      <c r="I87" s="164">
        <f t="shared" si="22"/>
        <v>27.144971408306251</v>
      </c>
      <c r="J87" s="164">
        <f t="shared" si="22"/>
        <v>27.939138769089567</v>
      </c>
      <c r="K87" s="164">
        <f t="shared" si="22"/>
        <v>28.761752873719406</v>
      </c>
      <c r="L87" s="164">
        <f t="shared" si="22"/>
        <v>29.614010826904245</v>
      </c>
      <c r="M87" s="171"/>
    </row>
    <row r="88" spans="2:13" ht="16.8" customHeight="1" thickBot="1" x14ac:dyDescent="0.35">
      <c r="B88" s="141" t="s">
        <v>165</v>
      </c>
      <c r="C88" s="140">
        <f t="shared" ref="C88:L88" si="23">C74/12</f>
        <v>2302.083333333333</v>
      </c>
      <c r="D88" s="140">
        <f t="shared" si="23"/>
        <v>256.25</v>
      </c>
      <c r="E88" s="140">
        <f t="shared" si="23"/>
        <v>271.9375</v>
      </c>
      <c r="F88" s="140">
        <f t="shared" si="23"/>
        <v>288.84062499999999</v>
      </c>
      <c r="G88" s="140">
        <f t="shared" si="23"/>
        <v>307.08484375</v>
      </c>
      <c r="H88" s="140">
        <f t="shared" si="23"/>
        <v>326.81160156250002</v>
      </c>
      <c r="I88" s="140">
        <f t="shared" si="23"/>
        <v>348.18057460937507</v>
      </c>
      <c r="J88" s="140">
        <f t="shared" si="23"/>
        <v>371.3722552539063</v>
      </c>
      <c r="K88" s="140">
        <f t="shared" si="23"/>
        <v>396.59091771777349</v>
      </c>
      <c r="L88" s="140">
        <f t="shared" si="23"/>
        <v>424.06802076000986</v>
      </c>
      <c r="M88" s="156"/>
    </row>
    <row r="89" spans="2:13" ht="16.8" customHeight="1" thickTop="1" x14ac:dyDescent="0.3">
      <c r="B89" s="166" t="s">
        <v>201</v>
      </c>
      <c r="C89" s="158">
        <f t="shared" ref="C89:L93" si="24">C$88-C83</f>
        <v>-301.5291666666667</v>
      </c>
      <c r="D89" s="158">
        <f t="shared" si="24"/>
        <v>232.6875</v>
      </c>
      <c r="E89" s="158">
        <f t="shared" si="24"/>
        <v>247.706875</v>
      </c>
      <c r="F89" s="158">
        <f t="shared" si="24"/>
        <v>263.91866874999999</v>
      </c>
      <c r="G89" s="158">
        <f t="shared" si="24"/>
        <v>281.44739368749998</v>
      </c>
      <c r="H89" s="158">
        <f t="shared" si="24"/>
        <v>300.43349507687503</v>
      </c>
      <c r="I89" s="158">
        <f t="shared" si="24"/>
        <v>321.0356032010688</v>
      </c>
      <c r="J89" s="158">
        <f t="shared" si="24"/>
        <v>343.43311648481676</v>
      </c>
      <c r="K89" s="158">
        <f t="shared" si="24"/>
        <v>367.82916484405411</v>
      </c>
      <c r="L89" s="158">
        <f t="shared" si="24"/>
        <v>394.45400993310562</v>
      </c>
      <c r="M89" s="172">
        <f>M$74-M69</f>
        <v>29416.999923729039</v>
      </c>
    </row>
    <row r="90" spans="2:13" ht="16.8" customHeight="1" x14ac:dyDescent="0.3">
      <c r="B90" s="168" t="s">
        <v>202</v>
      </c>
      <c r="C90" s="161">
        <f t="shared" si="24"/>
        <v>-68.75</v>
      </c>
      <c r="D90" s="161">
        <f t="shared" si="24"/>
        <v>232.6875</v>
      </c>
      <c r="E90" s="161">
        <f t="shared" si="24"/>
        <v>247.706875</v>
      </c>
      <c r="F90" s="161">
        <f t="shared" si="24"/>
        <v>263.91866874999999</v>
      </c>
      <c r="G90" s="161">
        <f t="shared" si="24"/>
        <v>281.44739368749998</v>
      </c>
      <c r="H90" s="161">
        <f t="shared" si="24"/>
        <v>300.43349507687503</v>
      </c>
      <c r="I90" s="161">
        <f t="shared" si="24"/>
        <v>321.0356032010688</v>
      </c>
      <c r="J90" s="161">
        <f t="shared" si="24"/>
        <v>343.43311648481676</v>
      </c>
      <c r="K90" s="161">
        <f t="shared" si="24"/>
        <v>367.82916484405411</v>
      </c>
      <c r="L90" s="161">
        <f t="shared" si="24"/>
        <v>394.45400993310562</v>
      </c>
      <c r="M90" s="173">
        <f t="shared" ref="M90:M93" si="25">M$74-M70</f>
        <v>32210.349923729042</v>
      </c>
    </row>
    <row r="91" spans="2:13" x14ac:dyDescent="0.3">
      <c r="B91" s="168" t="s">
        <v>203</v>
      </c>
      <c r="C91" s="161">
        <f t="shared" si="24"/>
        <v>2279.1666666666665</v>
      </c>
      <c r="D91" s="161">
        <f t="shared" si="24"/>
        <v>232.6875</v>
      </c>
      <c r="E91" s="161">
        <f t="shared" si="24"/>
        <v>247.706875</v>
      </c>
      <c r="F91" s="161">
        <f t="shared" si="24"/>
        <v>263.91866874999999</v>
      </c>
      <c r="G91" s="161">
        <f t="shared" si="24"/>
        <v>281.44739368749998</v>
      </c>
      <c r="H91" s="161">
        <f t="shared" si="24"/>
        <v>300.43349507687503</v>
      </c>
      <c r="I91" s="161">
        <f t="shared" si="24"/>
        <v>321.0356032010688</v>
      </c>
      <c r="J91" s="161">
        <f t="shared" si="24"/>
        <v>343.43311648481676</v>
      </c>
      <c r="K91" s="161">
        <f t="shared" si="24"/>
        <v>367.82916484405411</v>
      </c>
      <c r="L91" s="161">
        <f t="shared" si="24"/>
        <v>394.45400993310562</v>
      </c>
      <c r="M91" s="173">
        <f t="shared" si="25"/>
        <v>60385.349923729038</v>
      </c>
    </row>
    <row r="92" spans="2:13" x14ac:dyDescent="0.3">
      <c r="B92" s="168" t="s">
        <v>205</v>
      </c>
      <c r="C92" s="161">
        <f t="shared" si="24"/>
        <v>266.66666666666674</v>
      </c>
      <c r="D92" s="161">
        <f t="shared" si="24"/>
        <v>232.6875</v>
      </c>
      <c r="E92" s="161">
        <f t="shared" si="24"/>
        <v>247.706875</v>
      </c>
      <c r="F92" s="161">
        <f t="shared" si="24"/>
        <v>263.91866874999999</v>
      </c>
      <c r="G92" s="161">
        <f t="shared" si="24"/>
        <v>281.44739368749998</v>
      </c>
      <c r="H92" s="161">
        <f t="shared" si="24"/>
        <v>300.43349507687503</v>
      </c>
      <c r="I92" s="161">
        <f t="shared" si="24"/>
        <v>321.0356032010688</v>
      </c>
      <c r="J92" s="161">
        <f t="shared" si="24"/>
        <v>343.43311648481676</v>
      </c>
      <c r="K92" s="161">
        <f t="shared" si="24"/>
        <v>367.82916484405411</v>
      </c>
      <c r="L92" s="161">
        <f t="shared" si="24"/>
        <v>394.45400993310562</v>
      </c>
      <c r="M92" s="173">
        <f t="shared" si="25"/>
        <v>36235.349923729038</v>
      </c>
    </row>
    <row r="93" spans="2:13" ht="15" thickBot="1" x14ac:dyDescent="0.35">
      <c r="B93" s="170" t="s">
        <v>204</v>
      </c>
      <c r="C93" s="164">
        <f t="shared" si="24"/>
        <v>-1400.8333333333335</v>
      </c>
      <c r="D93" s="164">
        <f t="shared" si="24"/>
        <v>232.6875</v>
      </c>
      <c r="E93" s="164">
        <f t="shared" si="24"/>
        <v>247.706875</v>
      </c>
      <c r="F93" s="164">
        <f t="shared" si="24"/>
        <v>263.91866874999999</v>
      </c>
      <c r="G93" s="164">
        <f t="shared" si="24"/>
        <v>281.44739368749998</v>
      </c>
      <c r="H93" s="164">
        <f t="shared" si="24"/>
        <v>300.43349507687503</v>
      </c>
      <c r="I93" s="164">
        <f t="shared" si="24"/>
        <v>321.0356032010688</v>
      </c>
      <c r="J93" s="164">
        <f t="shared" si="24"/>
        <v>343.43311648481676</v>
      </c>
      <c r="K93" s="164">
        <f t="shared" si="24"/>
        <v>367.82916484405411</v>
      </c>
      <c r="L93" s="164">
        <f t="shared" si="24"/>
        <v>394.45400993310562</v>
      </c>
      <c r="M93" s="174">
        <f t="shared" si="25"/>
        <v>16225.349923729045</v>
      </c>
    </row>
    <row r="94" spans="2:13" ht="19.8" customHeight="1" x14ac:dyDescent="0.35">
      <c r="B94" s="181" t="s">
        <v>213</v>
      </c>
      <c r="C94" s="1"/>
      <c r="D94" s="1"/>
      <c r="E94" s="1"/>
      <c r="F94" s="1"/>
      <c r="G94" s="1"/>
      <c r="H94" s="1"/>
      <c r="I94" s="1"/>
      <c r="J94" s="1"/>
      <c r="K94" s="1"/>
      <c r="L94" s="1"/>
      <c r="M94" s="1"/>
    </row>
    <row r="95" spans="2:13" ht="38.4" customHeight="1" x14ac:dyDescent="0.85">
      <c r="B95" s="178" t="s">
        <v>35</v>
      </c>
      <c r="D95" s="13"/>
      <c r="E95" s="13"/>
      <c r="F95" s="13"/>
      <c r="G95" s="13"/>
      <c r="H95" s="13"/>
      <c r="I95" s="13"/>
      <c r="J95" s="13"/>
      <c r="K95" s="13"/>
      <c r="L95" s="176"/>
      <c r="M95" s="179" t="s">
        <v>207</v>
      </c>
    </row>
    <row r="96" spans="2:13" ht="18" x14ac:dyDescent="0.35">
      <c r="B96" s="178" t="s">
        <v>34</v>
      </c>
      <c r="C96" s="13"/>
      <c r="D96" s="13"/>
      <c r="E96" s="13"/>
      <c r="F96" s="13"/>
      <c r="G96" s="13"/>
      <c r="H96" s="13"/>
      <c r="I96" s="13"/>
      <c r="J96" s="13"/>
      <c r="K96" s="13"/>
      <c r="L96" s="176"/>
      <c r="M96" s="107" t="s">
        <v>208</v>
      </c>
    </row>
    <row r="97" spans="2:13" ht="18" x14ac:dyDescent="0.35">
      <c r="B97" s="178" t="s">
        <v>33</v>
      </c>
      <c r="C97" s="13"/>
      <c r="D97" s="13"/>
      <c r="E97" s="13"/>
      <c r="F97" s="13"/>
      <c r="G97" s="13"/>
      <c r="H97" s="13"/>
      <c r="I97" s="13"/>
      <c r="J97" s="13"/>
      <c r="K97" s="13"/>
      <c r="L97" s="176"/>
      <c r="M97" s="177" t="s">
        <v>206</v>
      </c>
    </row>
    <row r="98" spans="2:13" ht="18" x14ac:dyDescent="0.35">
      <c r="B98" s="178" t="s">
        <v>164</v>
      </c>
      <c r="C98" s="13"/>
      <c r="D98" s="13"/>
      <c r="E98" s="13"/>
      <c r="F98" s="13"/>
      <c r="G98" s="13" t="s">
        <v>210</v>
      </c>
      <c r="H98" s="13"/>
      <c r="I98" s="13"/>
      <c r="J98" s="13"/>
      <c r="K98" s="13"/>
      <c r="L98" s="176"/>
      <c r="M98" s="69"/>
    </row>
    <row r="99" spans="2:13" ht="18" x14ac:dyDescent="0.35">
      <c r="B99" s="55"/>
      <c r="L99" s="14"/>
      <c r="M99" s="40"/>
    </row>
    <row r="100" spans="2:13" x14ac:dyDescent="0.3">
      <c r="B100" s="152" t="s">
        <v>7</v>
      </c>
      <c r="C100" s="152"/>
      <c r="D100" s="152"/>
      <c r="E100" s="152"/>
      <c r="F100" s="152"/>
      <c r="G100" s="152"/>
      <c r="H100" s="152"/>
      <c r="I100" s="152"/>
      <c r="J100" s="152"/>
    </row>
    <row r="101" spans="2:13" x14ac:dyDescent="0.3">
      <c r="B101" s="152" t="s">
        <v>23</v>
      </c>
      <c r="C101" s="152">
        <v>1.02</v>
      </c>
      <c r="D101" s="152" t="s">
        <v>3</v>
      </c>
      <c r="E101" s="152" t="s">
        <v>1</v>
      </c>
      <c r="F101" s="152"/>
      <c r="G101" s="152"/>
      <c r="H101" s="152"/>
      <c r="I101" s="152"/>
      <c r="J101" s="152"/>
    </row>
    <row r="102" spans="2:13" x14ac:dyDescent="0.3">
      <c r="B102" s="152" t="s">
        <v>24</v>
      </c>
      <c r="C102" s="152">
        <v>1.05</v>
      </c>
      <c r="D102" s="152" t="s">
        <v>8</v>
      </c>
      <c r="E102" s="152"/>
      <c r="F102" s="152"/>
      <c r="G102" s="152"/>
      <c r="H102" s="152"/>
      <c r="I102" s="152"/>
      <c r="J102" s="152"/>
    </row>
    <row r="103" spans="2:13" x14ac:dyDescent="0.3">
      <c r="B103" s="152">
        <f>C101</f>
        <v>1.02</v>
      </c>
      <c r="C103" s="153" t="s">
        <v>3</v>
      </c>
      <c r="D103" s="152"/>
      <c r="E103" s="152"/>
      <c r="F103" s="152"/>
      <c r="G103" s="152"/>
      <c r="H103" s="152"/>
      <c r="I103" s="152"/>
      <c r="J103" s="152"/>
    </row>
    <row r="104" spans="2:13" x14ac:dyDescent="0.3">
      <c r="B104" s="152"/>
      <c r="C104" s="152"/>
      <c r="D104" s="152"/>
      <c r="E104" s="152"/>
      <c r="F104" s="152"/>
      <c r="G104" s="152"/>
      <c r="H104" s="152"/>
      <c r="I104" s="152"/>
      <c r="J104" s="152"/>
    </row>
    <row r="105" spans="2:13" x14ac:dyDescent="0.3">
      <c r="B105" s="152">
        <v>14500</v>
      </c>
      <c r="C105" s="152">
        <v>243.49</v>
      </c>
      <c r="D105" s="152"/>
      <c r="E105" s="152"/>
      <c r="F105" s="152"/>
      <c r="G105" s="152"/>
      <c r="H105" s="152"/>
      <c r="I105" s="152"/>
      <c r="J105" s="152"/>
    </row>
    <row r="106" spans="2:13" x14ac:dyDescent="0.3">
      <c r="B106" s="152">
        <f>C5</f>
        <v>21500</v>
      </c>
      <c r="C106" s="152">
        <f>B106*C105/B105</f>
        <v>361.03689655172411</v>
      </c>
      <c r="D106" s="152"/>
      <c r="E106" s="152"/>
      <c r="F106" s="152"/>
      <c r="G106" s="152"/>
      <c r="H106" s="152"/>
      <c r="I106" s="152"/>
      <c r="J106" s="152"/>
    </row>
    <row r="107" spans="2:13" x14ac:dyDescent="0.3">
      <c r="B107" s="152"/>
      <c r="C107" s="152"/>
      <c r="D107" s="152"/>
      <c r="E107" s="152"/>
      <c r="F107" s="152"/>
      <c r="G107" s="152"/>
      <c r="H107" s="152"/>
      <c r="I107" s="152"/>
      <c r="J107" s="152"/>
    </row>
    <row r="108" spans="2:13" x14ac:dyDescent="0.3">
      <c r="B108" s="152"/>
      <c r="C108" s="152"/>
      <c r="D108" s="152"/>
      <c r="E108" s="152"/>
      <c r="F108" s="152"/>
      <c r="G108" s="152"/>
      <c r="H108" s="152"/>
      <c r="I108" s="152"/>
      <c r="J108" s="152"/>
    </row>
  </sheetData>
  <hyperlinks>
    <hyperlink ref="B97" r:id="rId1"/>
    <hyperlink ref="B96" r:id="rId2"/>
    <hyperlink ref="B95" r:id="rId3"/>
    <hyperlink ref="B98" r:id="rId4"/>
    <hyperlink ref="L5" r:id="rId5"/>
    <hyperlink ref="B94" r:id="rId6"/>
  </hyperlinks>
  <pageMargins left="0" right="0" top="0" bottom="0" header="0" footer="0"/>
  <pageSetup scale="65" orientation="landscape" r:id="rId7"/>
  <rowBreaks count="1" manualBreakCount="1">
    <brk id="57" max="16383" man="1"/>
  </rowBreaks>
  <drawing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workbookViewId="0">
      <selection activeCell="E2" sqref="E2"/>
    </sheetView>
  </sheetViews>
  <sheetFormatPr baseColWidth="10" defaultRowHeight="14.4" x14ac:dyDescent="0.3"/>
  <cols>
    <col min="1" max="1" width="13.77734375" bestFit="1" customWidth="1"/>
    <col min="3" max="3" width="23.6640625" bestFit="1" customWidth="1"/>
  </cols>
  <sheetData>
    <row r="1" spans="1:9" x14ac:dyDescent="0.3">
      <c r="A1" s="188" t="s">
        <v>292</v>
      </c>
      <c r="B1" s="188">
        <v>85</v>
      </c>
      <c r="C1" t="s">
        <v>163</v>
      </c>
    </row>
    <row r="2" spans="1:9" x14ac:dyDescent="0.3">
      <c r="A2" s="188" t="s">
        <v>290</v>
      </c>
      <c r="B2" s="188">
        <v>6</v>
      </c>
    </row>
    <row r="3" spans="1:9" x14ac:dyDescent="0.3">
      <c r="A3" s="188" t="s">
        <v>291</v>
      </c>
      <c r="B3" s="188">
        <v>1.1499999999999999</v>
      </c>
    </row>
    <row r="4" spans="1:9" x14ac:dyDescent="0.3">
      <c r="C4" t="s">
        <v>293</v>
      </c>
    </row>
    <row r="5" spans="1:9" x14ac:dyDescent="0.3">
      <c r="A5" t="s">
        <v>289</v>
      </c>
      <c r="B5" t="s">
        <v>288</v>
      </c>
      <c r="C5">
        <v>40</v>
      </c>
      <c r="D5">
        <f t="shared" ref="D5:D36" si="0">$B$1</f>
        <v>85</v>
      </c>
      <c r="E5">
        <f t="shared" ref="E5:E36" si="1">D5-C5</f>
        <v>45</v>
      </c>
      <c r="F5">
        <f t="shared" ref="F5:F36" si="2">SUMIF(E5,"&gt;0",E5)</f>
        <v>45</v>
      </c>
      <c r="G5" s="1">
        <f t="shared" ref="G5:G36" si="3">($B$2*F5/100)*$B$3</f>
        <v>3.105</v>
      </c>
      <c r="H5" s="76">
        <f t="shared" ref="H5:H36" si="4">G5*5</f>
        <v>15.525</v>
      </c>
      <c r="I5">
        <f t="shared" ref="I5:I36" si="5">E5*5</f>
        <v>225</v>
      </c>
    </row>
    <row r="6" spans="1:9" x14ac:dyDescent="0.3">
      <c r="B6" t="s">
        <v>287</v>
      </c>
      <c r="C6">
        <v>40</v>
      </c>
      <c r="D6">
        <f t="shared" si="0"/>
        <v>85</v>
      </c>
      <c r="E6">
        <f t="shared" si="1"/>
        <v>45</v>
      </c>
      <c r="F6">
        <f t="shared" si="2"/>
        <v>45</v>
      </c>
      <c r="G6" s="1">
        <f t="shared" si="3"/>
        <v>3.105</v>
      </c>
      <c r="H6" s="76">
        <f t="shared" si="4"/>
        <v>15.525</v>
      </c>
      <c r="I6">
        <f t="shared" si="5"/>
        <v>225</v>
      </c>
    </row>
    <row r="7" spans="1:9" x14ac:dyDescent="0.3">
      <c r="B7" t="s">
        <v>286</v>
      </c>
      <c r="C7">
        <v>40</v>
      </c>
      <c r="D7">
        <f t="shared" si="0"/>
        <v>85</v>
      </c>
      <c r="E7">
        <f t="shared" si="1"/>
        <v>45</v>
      </c>
      <c r="F7">
        <f t="shared" si="2"/>
        <v>45</v>
      </c>
      <c r="G7" s="1">
        <f t="shared" si="3"/>
        <v>3.105</v>
      </c>
      <c r="H7" s="76">
        <f t="shared" si="4"/>
        <v>15.525</v>
      </c>
      <c r="I7">
        <f t="shared" si="5"/>
        <v>225</v>
      </c>
    </row>
    <row r="8" spans="1:9" x14ac:dyDescent="0.3">
      <c r="B8" t="s">
        <v>285</v>
      </c>
      <c r="C8">
        <v>40</v>
      </c>
      <c r="D8">
        <f t="shared" si="0"/>
        <v>85</v>
      </c>
      <c r="E8">
        <f t="shared" si="1"/>
        <v>45</v>
      </c>
      <c r="F8">
        <f t="shared" si="2"/>
        <v>45</v>
      </c>
      <c r="G8" s="1">
        <f t="shared" si="3"/>
        <v>3.105</v>
      </c>
      <c r="H8" s="76">
        <f t="shared" si="4"/>
        <v>15.525</v>
      </c>
      <c r="I8">
        <f t="shared" si="5"/>
        <v>225</v>
      </c>
    </row>
    <row r="9" spans="1:9" x14ac:dyDescent="0.3">
      <c r="A9" t="s">
        <v>284</v>
      </c>
      <c r="B9" t="s">
        <v>283</v>
      </c>
      <c r="C9">
        <v>40</v>
      </c>
      <c r="D9">
        <f t="shared" si="0"/>
        <v>85</v>
      </c>
      <c r="E9">
        <f t="shared" si="1"/>
        <v>45</v>
      </c>
      <c r="F9">
        <f t="shared" si="2"/>
        <v>45</v>
      </c>
      <c r="G9" s="1">
        <f t="shared" si="3"/>
        <v>3.105</v>
      </c>
      <c r="H9" s="76">
        <f t="shared" si="4"/>
        <v>15.525</v>
      </c>
      <c r="I9">
        <f t="shared" si="5"/>
        <v>225</v>
      </c>
    </row>
    <row r="10" spans="1:9" x14ac:dyDescent="0.3">
      <c r="B10" t="s">
        <v>282</v>
      </c>
      <c r="C10">
        <v>40</v>
      </c>
      <c r="D10">
        <f t="shared" si="0"/>
        <v>85</v>
      </c>
      <c r="E10">
        <f t="shared" si="1"/>
        <v>45</v>
      </c>
      <c r="F10">
        <f t="shared" si="2"/>
        <v>45</v>
      </c>
      <c r="G10" s="1">
        <f t="shared" si="3"/>
        <v>3.105</v>
      </c>
      <c r="H10" s="76">
        <f t="shared" si="4"/>
        <v>15.525</v>
      </c>
      <c r="I10">
        <f t="shared" si="5"/>
        <v>225</v>
      </c>
    </row>
    <row r="11" spans="1:9" x14ac:dyDescent="0.3">
      <c r="B11" t="s">
        <v>281</v>
      </c>
      <c r="C11">
        <v>40</v>
      </c>
      <c r="D11">
        <f t="shared" si="0"/>
        <v>85</v>
      </c>
      <c r="E11">
        <f t="shared" si="1"/>
        <v>45</v>
      </c>
      <c r="F11">
        <f t="shared" si="2"/>
        <v>45</v>
      </c>
      <c r="G11" s="1">
        <f t="shared" si="3"/>
        <v>3.105</v>
      </c>
      <c r="H11" s="76">
        <f t="shared" si="4"/>
        <v>15.525</v>
      </c>
      <c r="I11">
        <f t="shared" si="5"/>
        <v>225</v>
      </c>
    </row>
    <row r="12" spans="1:9" x14ac:dyDescent="0.3">
      <c r="B12" t="s">
        <v>280</v>
      </c>
      <c r="C12">
        <v>40</v>
      </c>
      <c r="D12">
        <f t="shared" si="0"/>
        <v>85</v>
      </c>
      <c r="E12">
        <f t="shared" si="1"/>
        <v>45</v>
      </c>
      <c r="F12">
        <f t="shared" si="2"/>
        <v>45</v>
      </c>
      <c r="G12" s="1">
        <f t="shared" si="3"/>
        <v>3.105</v>
      </c>
      <c r="H12" s="76">
        <f t="shared" si="4"/>
        <v>15.525</v>
      </c>
      <c r="I12">
        <f t="shared" si="5"/>
        <v>225</v>
      </c>
    </row>
    <row r="13" spans="1:9" x14ac:dyDescent="0.3">
      <c r="A13" t="s">
        <v>279</v>
      </c>
      <c r="B13" t="s">
        <v>278</v>
      </c>
      <c r="C13">
        <v>40</v>
      </c>
      <c r="D13">
        <f t="shared" si="0"/>
        <v>85</v>
      </c>
      <c r="E13">
        <f t="shared" si="1"/>
        <v>45</v>
      </c>
      <c r="F13">
        <f t="shared" si="2"/>
        <v>45</v>
      </c>
      <c r="G13" s="1">
        <f t="shared" si="3"/>
        <v>3.105</v>
      </c>
      <c r="H13" s="76">
        <f t="shared" si="4"/>
        <v>15.525</v>
      </c>
      <c r="I13">
        <f t="shared" si="5"/>
        <v>225</v>
      </c>
    </row>
    <row r="14" spans="1:9" x14ac:dyDescent="0.3">
      <c r="B14" t="s">
        <v>277</v>
      </c>
      <c r="C14">
        <v>40</v>
      </c>
      <c r="D14">
        <f t="shared" si="0"/>
        <v>85</v>
      </c>
      <c r="E14">
        <f t="shared" si="1"/>
        <v>45</v>
      </c>
      <c r="F14">
        <f t="shared" si="2"/>
        <v>45</v>
      </c>
      <c r="G14" s="1">
        <f t="shared" si="3"/>
        <v>3.105</v>
      </c>
      <c r="H14" s="76">
        <f t="shared" si="4"/>
        <v>15.525</v>
      </c>
      <c r="I14">
        <f t="shared" si="5"/>
        <v>225</v>
      </c>
    </row>
    <row r="15" spans="1:9" x14ac:dyDescent="0.3">
      <c r="B15" t="s">
        <v>276</v>
      </c>
      <c r="C15">
        <v>40</v>
      </c>
      <c r="D15">
        <f t="shared" si="0"/>
        <v>85</v>
      </c>
      <c r="E15">
        <f t="shared" si="1"/>
        <v>45</v>
      </c>
      <c r="F15">
        <f t="shared" si="2"/>
        <v>45</v>
      </c>
      <c r="G15" s="1">
        <f t="shared" si="3"/>
        <v>3.105</v>
      </c>
      <c r="H15" s="76">
        <f t="shared" si="4"/>
        <v>15.525</v>
      </c>
      <c r="I15">
        <f t="shared" si="5"/>
        <v>225</v>
      </c>
    </row>
    <row r="16" spans="1:9" x14ac:dyDescent="0.3">
      <c r="B16" t="s">
        <v>275</v>
      </c>
      <c r="C16">
        <v>40</v>
      </c>
      <c r="D16">
        <f t="shared" si="0"/>
        <v>85</v>
      </c>
      <c r="E16">
        <f t="shared" si="1"/>
        <v>45</v>
      </c>
      <c r="F16">
        <f t="shared" si="2"/>
        <v>45</v>
      </c>
      <c r="G16" s="1">
        <f t="shared" si="3"/>
        <v>3.105</v>
      </c>
      <c r="H16" s="76">
        <f t="shared" si="4"/>
        <v>15.525</v>
      </c>
      <c r="I16">
        <f t="shared" si="5"/>
        <v>225</v>
      </c>
    </row>
    <row r="17" spans="1:9" x14ac:dyDescent="0.3">
      <c r="A17" t="s">
        <v>274</v>
      </c>
      <c r="B17" t="s">
        <v>273</v>
      </c>
      <c r="C17">
        <v>50</v>
      </c>
      <c r="D17">
        <f t="shared" si="0"/>
        <v>85</v>
      </c>
      <c r="E17">
        <f t="shared" si="1"/>
        <v>35</v>
      </c>
      <c r="F17">
        <f t="shared" si="2"/>
        <v>35</v>
      </c>
      <c r="G17" s="1">
        <f t="shared" si="3"/>
        <v>2.415</v>
      </c>
      <c r="H17" s="76">
        <f t="shared" si="4"/>
        <v>12.074999999999999</v>
      </c>
      <c r="I17">
        <f t="shared" si="5"/>
        <v>175</v>
      </c>
    </row>
    <row r="18" spans="1:9" x14ac:dyDescent="0.3">
      <c r="B18" t="s">
        <v>272</v>
      </c>
      <c r="C18">
        <v>50</v>
      </c>
      <c r="D18">
        <f t="shared" si="0"/>
        <v>85</v>
      </c>
      <c r="E18">
        <f t="shared" si="1"/>
        <v>35</v>
      </c>
      <c r="F18">
        <f t="shared" si="2"/>
        <v>35</v>
      </c>
      <c r="G18" s="1">
        <f t="shared" si="3"/>
        <v>2.415</v>
      </c>
      <c r="H18" s="76">
        <f t="shared" si="4"/>
        <v>12.074999999999999</v>
      </c>
      <c r="I18">
        <f t="shared" si="5"/>
        <v>175</v>
      </c>
    </row>
    <row r="19" spans="1:9" x14ac:dyDescent="0.3">
      <c r="B19" t="s">
        <v>271</v>
      </c>
      <c r="C19">
        <v>50</v>
      </c>
      <c r="D19">
        <f t="shared" si="0"/>
        <v>85</v>
      </c>
      <c r="E19">
        <f t="shared" si="1"/>
        <v>35</v>
      </c>
      <c r="F19">
        <f t="shared" si="2"/>
        <v>35</v>
      </c>
      <c r="G19" s="1">
        <f t="shared" si="3"/>
        <v>2.415</v>
      </c>
      <c r="H19" s="76">
        <f t="shared" si="4"/>
        <v>12.074999999999999</v>
      </c>
      <c r="I19">
        <f t="shared" si="5"/>
        <v>175</v>
      </c>
    </row>
    <row r="20" spans="1:9" x14ac:dyDescent="0.3">
      <c r="B20" t="s">
        <v>270</v>
      </c>
      <c r="C20">
        <v>50</v>
      </c>
      <c r="D20">
        <f t="shared" si="0"/>
        <v>85</v>
      </c>
      <c r="E20">
        <f t="shared" si="1"/>
        <v>35</v>
      </c>
      <c r="F20">
        <f t="shared" si="2"/>
        <v>35</v>
      </c>
      <c r="G20" s="1">
        <f t="shared" si="3"/>
        <v>2.415</v>
      </c>
      <c r="H20" s="76">
        <f t="shared" si="4"/>
        <v>12.074999999999999</v>
      </c>
      <c r="I20">
        <f t="shared" si="5"/>
        <v>175</v>
      </c>
    </row>
    <row r="21" spans="1:9" x14ac:dyDescent="0.3">
      <c r="A21" t="s">
        <v>269</v>
      </c>
      <c r="B21" t="s">
        <v>268</v>
      </c>
      <c r="C21">
        <v>70</v>
      </c>
      <c r="D21">
        <f t="shared" si="0"/>
        <v>85</v>
      </c>
      <c r="E21">
        <f t="shared" si="1"/>
        <v>15</v>
      </c>
      <c r="F21">
        <f t="shared" si="2"/>
        <v>15</v>
      </c>
      <c r="G21" s="1">
        <f t="shared" si="3"/>
        <v>1.0349999999999999</v>
      </c>
      <c r="H21" s="76">
        <f t="shared" si="4"/>
        <v>5.1749999999999998</v>
      </c>
      <c r="I21">
        <f t="shared" si="5"/>
        <v>75</v>
      </c>
    </row>
    <row r="22" spans="1:9" x14ac:dyDescent="0.3">
      <c r="B22" t="s">
        <v>267</v>
      </c>
      <c r="C22">
        <v>70</v>
      </c>
      <c r="D22">
        <f t="shared" si="0"/>
        <v>85</v>
      </c>
      <c r="E22">
        <f t="shared" si="1"/>
        <v>15</v>
      </c>
      <c r="F22">
        <f t="shared" si="2"/>
        <v>15</v>
      </c>
      <c r="G22" s="1">
        <f t="shared" si="3"/>
        <v>1.0349999999999999</v>
      </c>
      <c r="H22" s="76">
        <f t="shared" si="4"/>
        <v>5.1749999999999998</v>
      </c>
      <c r="I22">
        <f t="shared" si="5"/>
        <v>75</v>
      </c>
    </row>
    <row r="23" spans="1:9" x14ac:dyDescent="0.3">
      <c r="B23" t="s">
        <v>266</v>
      </c>
      <c r="C23">
        <v>70</v>
      </c>
      <c r="D23">
        <f t="shared" si="0"/>
        <v>85</v>
      </c>
      <c r="E23">
        <f t="shared" si="1"/>
        <v>15</v>
      </c>
      <c r="F23">
        <f t="shared" si="2"/>
        <v>15</v>
      </c>
      <c r="G23" s="1">
        <f t="shared" si="3"/>
        <v>1.0349999999999999</v>
      </c>
      <c r="H23" s="76">
        <f t="shared" si="4"/>
        <v>5.1749999999999998</v>
      </c>
      <c r="I23">
        <f t="shared" si="5"/>
        <v>75</v>
      </c>
    </row>
    <row r="24" spans="1:9" x14ac:dyDescent="0.3">
      <c r="B24" t="s">
        <v>265</v>
      </c>
      <c r="C24">
        <v>70</v>
      </c>
      <c r="D24">
        <f t="shared" si="0"/>
        <v>85</v>
      </c>
      <c r="E24">
        <f t="shared" si="1"/>
        <v>15</v>
      </c>
      <c r="F24">
        <f t="shared" si="2"/>
        <v>15</v>
      </c>
      <c r="G24" s="1">
        <f t="shared" si="3"/>
        <v>1.0349999999999999</v>
      </c>
      <c r="H24" s="76">
        <f t="shared" si="4"/>
        <v>5.1749999999999998</v>
      </c>
      <c r="I24">
        <f t="shared" si="5"/>
        <v>75</v>
      </c>
    </row>
    <row r="25" spans="1:9" x14ac:dyDescent="0.3">
      <c r="A25" t="s">
        <v>264</v>
      </c>
      <c r="B25" t="s">
        <v>263</v>
      </c>
      <c r="C25">
        <v>80</v>
      </c>
      <c r="D25">
        <f t="shared" si="0"/>
        <v>85</v>
      </c>
      <c r="E25">
        <f t="shared" si="1"/>
        <v>5</v>
      </c>
      <c r="F25">
        <f t="shared" si="2"/>
        <v>5</v>
      </c>
      <c r="G25" s="1">
        <f t="shared" si="3"/>
        <v>0.34499999999999997</v>
      </c>
      <c r="H25" s="76">
        <f t="shared" si="4"/>
        <v>1.7249999999999999</v>
      </c>
      <c r="I25">
        <f t="shared" si="5"/>
        <v>25</v>
      </c>
    </row>
    <row r="26" spans="1:9" x14ac:dyDescent="0.3">
      <c r="B26" t="s">
        <v>262</v>
      </c>
      <c r="C26">
        <v>80</v>
      </c>
      <c r="D26">
        <f t="shared" si="0"/>
        <v>85</v>
      </c>
      <c r="E26">
        <f t="shared" si="1"/>
        <v>5</v>
      </c>
      <c r="F26">
        <f t="shared" si="2"/>
        <v>5</v>
      </c>
      <c r="G26" s="1">
        <f t="shared" si="3"/>
        <v>0.34499999999999997</v>
      </c>
      <c r="H26" s="76">
        <f t="shared" si="4"/>
        <v>1.7249999999999999</v>
      </c>
      <c r="I26">
        <f t="shared" si="5"/>
        <v>25</v>
      </c>
    </row>
    <row r="27" spans="1:9" x14ac:dyDescent="0.3">
      <c r="B27" t="s">
        <v>261</v>
      </c>
      <c r="C27">
        <v>80</v>
      </c>
      <c r="D27">
        <f t="shared" si="0"/>
        <v>85</v>
      </c>
      <c r="E27">
        <f t="shared" si="1"/>
        <v>5</v>
      </c>
      <c r="F27">
        <f t="shared" si="2"/>
        <v>5</v>
      </c>
      <c r="G27" s="1">
        <f t="shared" si="3"/>
        <v>0.34499999999999997</v>
      </c>
      <c r="H27" s="76">
        <f t="shared" si="4"/>
        <v>1.7249999999999999</v>
      </c>
      <c r="I27">
        <f t="shared" si="5"/>
        <v>25</v>
      </c>
    </row>
    <row r="28" spans="1:9" x14ac:dyDescent="0.3">
      <c r="B28" t="s">
        <v>260</v>
      </c>
      <c r="C28">
        <v>80</v>
      </c>
      <c r="D28">
        <f t="shared" si="0"/>
        <v>85</v>
      </c>
      <c r="E28">
        <f t="shared" si="1"/>
        <v>5</v>
      </c>
      <c r="F28">
        <f t="shared" si="2"/>
        <v>5</v>
      </c>
      <c r="G28" s="1">
        <f t="shared" si="3"/>
        <v>0.34499999999999997</v>
      </c>
      <c r="H28" s="76">
        <f t="shared" si="4"/>
        <v>1.7249999999999999</v>
      </c>
      <c r="I28">
        <f t="shared" si="5"/>
        <v>25</v>
      </c>
    </row>
    <row r="29" spans="1:9" x14ac:dyDescent="0.3">
      <c r="A29" t="s">
        <v>259</v>
      </c>
      <c r="B29" t="s">
        <v>258</v>
      </c>
      <c r="C29">
        <v>80</v>
      </c>
      <c r="D29">
        <f t="shared" si="0"/>
        <v>85</v>
      </c>
      <c r="E29">
        <f t="shared" si="1"/>
        <v>5</v>
      </c>
      <c r="F29">
        <f t="shared" si="2"/>
        <v>5</v>
      </c>
      <c r="G29" s="1">
        <f t="shared" si="3"/>
        <v>0.34499999999999997</v>
      </c>
      <c r="H29" s="76">
        <f t="shared" si="4"/>
        <v>1.7249999999999999</v>
      </c>
      <c r="I29">
        <f t="shared" si="5"/>
        <v>25</v>
      </c>
    </row>
    <row r="30" spans="1:9" x14ac:dyDescent="0.3">
      <c r="B30" t="s">
        <v>257</v>
      </c>
      <c r="C30">
        <v>80</v>
      </c>
      <c r="D30">
        <f t="shared" si="0"/>
        <v>85</v>
      </c>
      <c r="E30">
        <f t="shared" si="1"/>
        <v>5</v>
      </c>
      <c r="F30">
        <f t="shared" si="2"/>
        <v>5</v>
      </c>
      <c r="G30" s="1">
        <f t="shared" si="3"/>
        <v>0.34499999999999997</v>
      </c>
      <c r="H30" s="76">
        <f t="shared" si="4"/>
        <v>1.7249999999999999</v>
      </c>
      <c r="I30">
        <f t="shared" si="5"/>
        <v>25</v>
      </c>
    </row>
    <row r="31" spans="1:9" x14ac:dyDescent="0.3">
      <c r="B31" t="s">
        <v>256</v>
      </c>
      <c r="C31">
        <v>80</v>
      </c>
      <c r="D31">
        <f t="shared" si="0"/>
        <v>85</v>
      </c>
      <c r="E31">
        <f t="shared" si="1"/>
        <v>5</v>
      </c>
      <c r="F31">
        <f t="shared" si="2"/>
        <v>5</v>
      </c>
      <c r="G31" s="1">
        <f t="shared" si="3"/>
        <v>0.34499999999999997</v>
      </c>
      <c r="H31" s="76">
        <f t="shared" si="4"/>
        <v>1.7249999999999999</v>
      </c>
      <c r="I31">
        <f t="shared" si="5"/>
        <v>25</v>
      </c>
    </row>
    <row r="32" spans="1:9" x14ac:dyDescent="0.3">
      <c r="B32" t="s">
        <v>255</v>
      </c>
      <c r="C32">
        <v>80</v>
      </c>
      <c r="D32">
        <f t="shared" si="0"/>
        <v>85</v>
      </c>
      <c r="E32">
        <f t="shared" si="1"/>
        <v>5</v>
      </c>
      <c r="F32">
        <f t="shared" si="2"/>
        <v>5</v>
      </c>
      <c r="G32" s="1">
        <f t="shared" si="3"/>
        <v>0.34499999999999997</v>
      </c>
      <c r="H32" s="76">
        <f t="shared" si="4"/>
        <v>1.7249999999999999</v>
      </c>
      <c r="I32">
        <f t="shared" si="5"/>
        <v>25</v>
      </c>
    </row>
    <row r="33" spans="1:9" x14ac:dyDescent="0.3">
      <c r="A33" t="s">
        <v>254</v>
      </c>
      <c r="B33" t="s">
        <v>253</v>
      </c>
      <c r="C33">
        <v>80</v>
      </c>
      <c r="D33">
        <f t="shared" si="0"/>
        <v>85</v>
      </c>
      <c r="E33">
        <f t="shared" si="1"/>
        <v>5</v>
      </c>
      <c r="F33">
        <f t="shared" si="2"/>
        <v>5</v>
      </c>
      <c r="G33" s="1">
        <f t="shared" si="3"/>
        <v>0.34499999999999997</v>
      </c>
      <c r="H33" s="76">
        <f t="shared" si="4"/>
        <v>1.7249999999999999</v>
      </c>
      <c r="I33">
        <f t="shared" si="5"/>
        <v>25</v>
      </c>
    </row>
    <row r="34" spans="1:9" x14ac:dyDescent="0.3">
      <c r="B34" t="s">
        <v>252</v>
      </c>
      <c r="C34">
        <v>80</v>
      </c>
      <c r="D34">
        <f t="shared" si="0"/>
        <v>85</v>
      </c>
      <c r="E34">
        <f t="shared" si="1"/>
        <v>5</v>
      </c>
      <c r="F34">
        <f t="shared" si="2"/>
        <v>5</v>
      </c>
      <c r="G34" s="1">
        <f t="shared" si="3"/>
        <v>0.34499999999999997</v>
      </c>
      <c r="H34" s="76">
        <f t="shared" si="4"/>
        <v>1.7249999999999999</v>
      </c>
      <c r="I34">
        <f t="shared" si="5"/>
        <v>25</v>
      </c>
    </row>
    <row r="35" spans="1:9" x14ac:dyDescent="0.3">
      <c r="B35" t="s">
        <v>251</v>
      </c>
      <c r="C35">
        <v>80</v>
      </c>
      <c r="D35">
        <f t="shared" si="0"/>
        <v>85</v>
      </c>
      <c r="E35">
        <f t="shared" si="1"/>
        <v>5</v>
      </c>
      <c r="F35">
        <f t="shared" si="2"/>
        <v>5</v>
      </c>
      <c r="G35" s="1">
        <f t="shared" si="3"/>
        <v>0.34499999999999997</v>
      </c>
      <c r="H35" s="76">
        <f t="shared" si="4"/>
        <v>1.7249999999999999</v>
      </c>
      <c r="I35">
        <f t="shared" si="5"/>
        <v>25</v>
      </c>
    </row>
    <row r="36" spans="1:9" x14ac:dyDescent="0.3">
      <c r="B36" t="s">
        <v>250</v>
      </c>
      <c r="C36">
        <v>80</v>
      </c>
      <c r="D36">
        <f t="shared" si="0"/>
        <v>85</v>
      </c>
      <c r="E36">
        <f t="shared" si="1"/>
        <v>5</v>
      </c>
      <c r="F36">
        <f t="shared" si="2"/>
        <v>5</v>
      </c>
      <c r="G36" s="1">
        <f t="shared" si="3"/>
        <v>0.34499999999999997</v>
      </c>
      <c r="H36" s="76">
        <f t="shared" si="4"/>
        <v>1.7249999999999999</v>
      </c>
      <c r="I36">
        <f t="shared" si="5"/>
        <v>25</v>
      </c>
    </row>
    <row r="37" spans="1:9" x14ac:dyDescent="0.3">
      <c r="A37" t="s">
        <v>249</v>
      </c>
      <c r="B37" t="s">
        <v>248</v>
      </c>
      <c r="C37">
        <v>80</v>
      </c>
      <c r="D37">
        <f t="shared" ref="D37:D56" si="6">$B$1</f>
        <v>85</v>
      </c>
      <c r="E37">
        <f t="shared" ref="E37:E56" si="7">D37-C37</f>
        <v>5</v>
      </c>
      <c r="F37">
        <f t="shared" ref="F37:F56" si="8">SUMIF(E37,"&gt;0",E37)</f>
        <v>5</v>
      </c>
      <c r="G37" s="1">
        <f t="shared" ref="G37:G56" si="9">($B$2*F37/100)*$B$3</f>
        <v>0.34499999999999997</v>
      </c>
      <c r="H37" s="76">
        <f t="shared" ref="H37:H56" si="10">G37*5</f>
        <v>1.7249999999999999</v>
      </c>
      <c r="I37">
        <f t="shared" ref="I37:I56" si="11">E37*5</f>
        <v>25</v>
      </c>
    </row>
    <row r="38" spans="1:9" x14ac:dyDescent="0.3">
      <c r="B38" t="s">
        <v>247</v>
      </c>
      <c r="C38">
        <v>80</v>
      </c>
      <c r="D38">
        <f t="shared" si="6"/>
        <v>85</v>
      </c>
      <c r="E38">
        <f t="shared" si="7"/>
        <v>5</v>
      </c>
      <c r="F38">
        <f t="shared" si="8"/>
        <v>5</v>
      </c>
      <c r="G38" s="1">
        <f t="shared" si="9"/>
        <v>0.34499999999999997</v>
      </c>
      <c r="H38" s="76">
        <f t="shared" si="10"/>
        <v>1.7249999999999999</v>
      </c>
      <c r="I38">
        <f t="shared" si="11"/>
        <v>25</v>
      </c>
    </row>
    <row r="39" spans="1:9" x14ac:dyDescent="0.3">
      <c r="B39" t="s">
        <v>246</v>
      </c>
      <c r="C39">
        <v>80</v>
      </c>
      <c r="D39">
        <f t="shared" si="6"/>
        <v>85</v>
      </c>
      <c r="E39">
        <f t="shared" si="7"/>
        <v>5</v>
      </c>
      <c r="F39">
        <f t="shared" si="8"/>
        <v>5</v>
      </c>
      <c r="G39" s="1">
        <f t="shared" si="9"/>
        <v>0.34499999999999997</v>
      </c>
      <c r="H39" s="76">
        <f t="shared" si="10"/>
        <v>1.7249999999999999</v>
      </c>
      <c r="I39">
        <f t="shared" si="11"/>
        <v>25</v>
      </c>
    </row>
    <row r="40" spans="1:9" x14ac:dyDescent="0.3">
      <c r="B40" t="s">
        <v>245</v>
      </c>
      <c r="C40">
        <v>80</v>
      </c>
      <c r="D40">
        <f t="shared" si="6"/>
        <v>85</v>
      </c>
      <c r="E40">
        <f t="shared" si="7"/>
        <v>5</v>
      </c>
      <c r="F40">
        <f t="shared" si="8"/>
        <v>5</v>
      </c>
      <c r="G40" s="1">
        <f t="shared" si="9"/>
        <v>0.34499999999999997</v>
      </c>
      <c r="H40" s="76">
        <f t="shared" si="10"/>
        <v>1.7249999999999999</v>
      </c>
      <c r="I40">
        <f t="shared" si="11"/>
        <v>25</v>
      </c>
    </row>
    <row r="41" spans="1:9" x14ac:dyDescent="0.3">
      <c r="A41" t="s">
        <v>244</v>
      </c>
      <c r="B41" t="s">
        <v>243</v>
      </c>
      <c r="C41">
        <v>60</v>
      </c>
      <c r="D41">
        <f t="shared" si="6"/>
        <v>85</v>
      </c>
      <c r="E41">
        <f t="shared" si="7"/>
        <v>25</v>
      </c>
      <c r="F41">
        <f t="shared" si="8"/>
        <v>25</v>
      </c>
      <c r="G41" s="1">
        <f t="shared" si="9"/>
        <v>1.7249999999999999</v>
      </c>
      <c r="H41" s="76">
        <f t="shared" si="10"/>
        <v>8.625</v>
      </c>
      <c r="I41">
        <f t="shared" si="11"/>
        <v>125</v>
      </c>
    </row>
    <row r="42" spans="1:9" x14ac:dyDescent="0.3">
      <c r="B42" t="s">
        <v>242</v>
      </c>
      <c r="C42">
        <v>60</v>
      </c>
      <c r="D42">
        <f t="shared" si="6"/>
        <v>85</v>
      </c>
      <c r="E42">
        <f t="shared" si="7"/>
        <v>25</v>
      </c>
      <c r="F42">
        <f t="shared" si="8"/>
        <v>25</v>
      </c>
      <c r="G42" s="1">
        <f t="shared" si="9"/>
        <v>1.7249999999999999</v>
      </c>
      <c r="H42" s="76">
        <f t="shared" si="10"/>
        <v>8.625</v>
      </c>
      <c r="I42">
        <f t="shared" si="11"/>
        <v>125</v>
      </c>
    </row>
    <row r="43" spans="1:9" x14ac:dyDescent="0.3">
      <c r="B43" t="s">
        <v>241</v>
      </c>
      <c r="C43">
        <v>60</v>
      </c>
      <c r="D43">
        <f t="shared" si="6"/>
        <v>85</v>
      </c>
      <c r="E43">
        <f t="shared" si="7"/>
        <v>25</v>
      </c>
      <c r="F43">
        <f t="shared" si="8"/>
        <v>25</v>
      </c>
      <c r="G43" s="1">
        <f t="shared" si="9"/>
        <v>1.7249999999999999</v>
      </c>
      <c r="H43" s="76">
        <f t="shared" si="10"/>
        <v>8.625</v>
      </c>
      <c r="I43">
        <f t="shared" si="11"/>
        <v>125</v>
      </c>
    </row>
    <row r="44" spans="1:9" x14ac:dyDescent="0.3">
      <c r="B44" t="s">
        <v>240</v>
      </c>
      <c r="C44">
        <v>60</v>
      </c>
      <c r="D44">
        <f t="shared" si="6"/>
        <v>85</v>
      </c>
      <c r="E44">
        <f t="shared" si="7"/>
        <v>25</v>
      </c>
      <c r="F44">
        <f t="shared" si="8"/>
        <v>25</v>
      </c>
      <c r="G44" s="1">
        <f t="shared" si="9"/>
        <v>1.7249999999999999</v>
      </c>
      <c r="H44" s="76">
        <f t="shared" si="10"/>
        <v>8.625</v>
      </c>
      <c r="I44">
        <f t="shared" si="11"/>
        <v>125</v>
      </c>
    </row>
    <row r="45" spans="1:9" x14ac:dyDescent="0.3">
      <c r="A45" t="s">
        <v>239</v>
      </c>
      <c r="B45" t="s">
        <v>238</v>
      </c>
      <c r="C45">
        <v>50</v>
      </c>
      <c r="D45">
        <f t="shared" si="6"/>
        <v>85</v>
      </c>
      <c r="E45">
        <f t="shared" si="7"/>
        <v>35</v>
      </c>
      <c r="F45">
        <f t="shared" si="8"/>
        <v>35</v>
      </c>
      <c r="G45" s="1">
        <f t="shared" si="9"/>
        <v>2.415</v>
      </c>
      <c r="H45" s="76">
        <f t="shared" si="10"/>
        <v>12.074999999999999</v>
      </c>
      <c r="I45">
        <f t="shared" si="11"/>
        <v>175</v>
      </c>
    </row>
    <row r="46" spans="1:9" x14ac:dyDescent="0.3">
      <c r="B46" t="s">
        <v>237</v>
      </c>
      <c r="C46">
        <v>50</v>
      </c>
      <c r="D46">
        <f t="shared" si="6"/>
        <v>85</v>
      </c>
      <c r="E46">
        <f t="shared" si="7"/>
        <v>35</v>
      </c>
      <c r="F46">
        <f t="shared" si="8"/>
        <v>35</v>
      </c>
      <c r="G46" s="1">
        <f t="shared" si="9"/>
        <v>2.415</v>
      </c>
      <c r="H46" s="76">
        <f t="shared" si="10"/>
        <v>12.074999999999999</v>
      </c>
      <c r="I46">
        <f t="shared" si="11"/>
        <v>175</v>
      </c>
    </row>
    <row r="47" spans="1:9" x14ac:dyDescent="0.3">
      <c r="B47" t="s">
        <v>236</v>
      </c>
      <c r="C47">
        <v>50</v>
      </c>
      <c r="D47">
        <f t="shared" si="6"/>
        <v>85</v>
      </c>
      <c r="E47">
        <f t="shared" si="7"/>
        <v>35</v>
      </c>
      <c r="F47">
        <f t="shared" si="8"/>
        <v>35</v>
      </c>
      <c r="G47" s="1">
        <f t="shared" si="9"/>
        <v>2.415</v>
      </c>
      <c r="H47" s="76">
        <f t="shared" si="10"/>
        <v>12.074999999999999</v>
      </c>
      <c r="I47">
        <f t="shared" si="11"/>
        <v>175</v>
      </c>
    </row>
    <row r="48" spans="1:9" x14ac:dyDescent="0.3">
      <c r="B48" t="s">
        <v>235</v>
      </c>
      <c r="C48">
        <v>50</v>
      </c>
      <c r="D48">
        <f t="shared" si="6"/>
        <v>85</v>
      </c>
      <c r="E48">
        <f t="shared" si="7"/>
        <v>35</v>
      </c>
      <c r="F48">
        <f t="shared" si="8"/>
        <v>35</v>
      </c>
      <c r="G48" s="1">
        <f t="shared" si="9"/>
        <v>2.415</v>
      </c>
      <c r="H48" s="76">
        <f t="shared" si="10"/>
        <v>12.074999999999999</v>
      </c>
      <c r="I48">
        <f t="shared" si="11"/>
        <v>175</v>
      </c>
    </row>
    <row r="49" spans="1:9" x14ac:dyDescent="0.3">
      <c r="A49" t="s">
        <v>234</v>
      </c>
      <c r="B49" t="s">
        <v>233</v>
      </c>
      <c r="C49">
        <v>40</v>
      </c>
      <c r="D49">
        <f t="shared" si="6"/>
        <v>85</v>
      </c>
      <c r="E49">
        <f t="shared" si="7"/>
        <v>45</v>
      </c>
      <c r="F49">
        <f t="shared" si="8"/>
        <v>45</v>
      </c>
      <c r="G49" s="1">
        <f t="shared" si="9"/>
        <v>3.105</v>
      </c>
      <c r="H49" s="76">
        <f t="shared" si="10"/>
        <v>15.525</v>
      </c>
      <c r="I49">
        <f t="shared" si="11"/>
        <v>225</v>
      </c>
    </row>
    <row r="50" spans="1:9" x14ac:dyDescent="0.3">
      <c r="B50" t="s">
        <v>232</v>
      </c>
      <c r="C50">
        <v>40</v>
      </c>
      <c r="D50">
        <f t="shared" si="6"/>
        <v>85</v>
      </c>
      <c r="E50">
        <f t="shared" si="7"/>
        <v>45</v>
      </c>
      <c r="F50">
        <f t="shared" si="8"/>
        <v>45</v>
      </c>
      <c r="G50" s="1">
        <f t="shared" si="9"/>
        <v>3.105</v>
      </c>
      <c r="H50" s="76">
        <f t="shared" si="10"/>
        <v>15.525</v>
      </c>
      <c r="I50">
        <f t="shared" si="11"/>
        <v>225</v>
      </c>
    </row>
    <row r="51" spans="1:9" x14ac:dyDescent="0.3">
      <c r="B51" t="s">
        <v>231</v>
      </c>
      <c r="C51">
        <v>40</v>
      </c>
      <c r="D51">
        <f t="shared" si="6"/>
        <v>85</v>
      </c>
      <c r="E51">
        <f t="shared" si="7"/>
        <v>45</v>
      </c>
      <c r="F51">
        <f t="shared" si="8"/>
        <v>45</v>
      </c>
      <c r="G51" s="1">
        <f t="shared" si="9"/>
        <v>3.105</v>
      </c>
      <c r="H51" s="76">
        <f t="shared" si="10"/>
        <v>15.525</v>
      </c>
      <c r="I51">
        <f t="shared" si="11"/>
        <v>225</v>
      </c>
    </row>
    <row r="52" spans="1:9" x14ac:dyDescent="0.3">
      <c r="B52" t="s">
        <v>230</v>
      </c>
      <c r="C52">
        <v>40</v>
      </c>
      <c r="D52">
        <f t="shared" si="6"/>
        <v>85</v>
      </c>
      <c r="E52">
        <f t="shared" si="7"/>
        <v>45</v>
      </c>
      <c r="F52">
        <f t="shared" si="8"/>
        <v>45</v>
      </c>
      <c r="G52" s="1">
        <f t="shared" si="9"/>
        <v>3.105</v>
      </c>
      <c r="H52" s="76">
        <f t="shared" si="10"/>
        <v>15.525</v>
      </c>
      <c r="I52">
        <f t="shared" si="11"/>
        <v>225</v>
      </c>
    </row>
    <row r="53" spans="1:9" x14ac:dyDescent="0.3">
      <c r="B53" t="s">
        <v>229</v>
      </c>
      <c r="C53">
        <v>40</v>
      </c>
      <c r="D53">
        <f t="shared" si="6"/>
        <v>85</v>
      </c>
      <c r="E53">
        <f t="shared" si="7"/>
        <v>45</v>
      </c>
      <c r="F53">
        <f t="shared" si="8"/>
        <v>45</v>
      </c>
      <c r="G53" s="1">
        <f t="shared" si="9"/>
        <v>3.105</v>
      </c>
      <c r="H53" s="76">
        <f t="shared" si="10"/>
        <v>15.525</v>
      </c>
      <c r="I53">
        <f t="shared" si="11"/>
        <v>225</v>
      </c>
    </row>
    <row r="54" spans="1:9" x14ac:dyDescent="0.3">
      <c r="B54" t="s">
        <v>228</v>
      </c>
      <c r="C54">
        <v>40</v>
      </c>
      <c r="D54">
        <f t="shared" si="6"/>
        <v>85</v>
      </c>
      <c r="E54">
        <f t="shared" si="7"/>
        <v>45</v>
      </c>
      <c r="F54">
        <f t="shared" si="8"/>
        <v>45</v>
      </c>
      <c r="G54" s="1">
        <f t="shared" si="9"/>
        <v>3.105</v>
      </c>
      <c r="H54" s="76">
        <f t="shared" si="10"/>
        <v>15.525</v>
      </c>
      <c r="I54">
        <f t="shared" si="11"/>
        <v>225</v>
      </c>
    </row>
    <row r="55" spans="1:9" x14ac:dyDescent="0.3">
      <c r="B55" t="s">
        <v>227</v>
      </c>
      <c r="C55">
        <v>40</v>
      </c>
      <c r="D55">
        <f t="shared" si="6"/>
        <v>85</v>
      </c>
      <c r="E55">
        <f t="shared" si="7"/>
        <v>45</v>
      </c>
      <c r="F55">
        <f t="shared" si="8"/>
        <v>45</v>
      </c>
      <c r="G55" s="1">
        <f t="shared" si="9"/>
        <v>3.105</v>
      </c>
      <c r="H55" s="76">
        <f t="shared" si="10"/>
        <v>15.525</v>
      </c>
      <c r="I55">
        <f t="shared" si="11"/>
        <v>225</v>
      </c>
    </row>
    <row r="56" spans="1:9" x14ac:dyDescent="0.3">
      <c r="B56" t="s">
        <v>226</v>
      </c>
      <c r="C56">
        <v>40</v>
      </c>
      <c r="D56">
        <f t="shared" si="6"/>
        <v>85</v>
      </c>
      <c r="E56">
        <f t="shared" si="7"/>
        <v>45</v>
      </c>
      <c r="F56">
        <f t="shared" si="8"/>
        <v>45</v>
      </c>
      <c r="G56" s="1">
        <f t="shared" si="9"/>
        <v>3.105</v>
      </c>
      <c r="H56" s="76">
        <f t="shared" si="10"/>
        <v>15.525</v>
      </c>
      <c r="I56">
        <f t="shared" si="11"/>
        <v>225</v>
      </c>
    </row>
    <row r="57" spans="1:9" x14ac:dyDescent="0.3">
      <c r="G57" s="76"/>
      <c r="H57" s="76">
        <f>SUM(H5:H56)</f>
        <v>489.90000000000015</v>
      </c>
      <c r="I57">
        <f>SUM(I5:I56)</f>
        <v>7100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C3"/>
  <sheetViews>
    <sheetView workbookViewId="0">
      <selection activeCell="L24" sqref="L24"/>
    </sheetView>
  </sheetViews>
  <sheetFormatPr baseColWidth="10" defaultRowHeight="14.4" x14ac:dyDescent="0.3"/>
  <sheetData>
    <row r="2" spans="2:3" x14ac:dyDescent="0.3">
      <c r="B2" t="s">
        <v>518</v>
      </c>
    </row>
    <row r="3" spans="2:3" x14ac:dyDescent="0.3"/>
  </sheetData>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showGridLines="0" workbookViewId="0">
      <selection activeCell="F22" sqref="F22"/>
    </sheetView>
  </sheetViews>
  <sheetFormatPr baseColWidth="10" defaultRowHeight="14.4" x14ac:dyDescent="0.3"/>
  <cols>
    <col min="2" max="2" width="15.88671875" bestFit="1" customWidth="1"/>
    <col min="3" max="8" width="15.77734375" customWidth="1"/>
  </cols>
  <sheetData>
    <row r="1" spans="1:7" x14ac:dyDescent="0.3">
      <c r="D1" s="1">
        <f>0.0568*1.15</f>
        <v>6.5320000000000003E-2</v>
      </c>
      <c r="E1" t="s">
        <v>309</v>
      </c>
      <c r="F1">
        <f>0.086*1.15</f>
        <v>9.8899999999999988E-2</v>
      </c>
      <c r="G1" t="s">
        <v>309</v>
      </c>
    </row>
    <row r="2" spans="1:7" x14ac:dyDescent="0.3">
      <c r="B2" t="s">
        <v>305</v>
      </c>
      <c r="C2" t="s">
        <v>306</v>
      </c>
      <c r="D2" s="1" t="s">
        <v>307</v>
      </c>
      <c r="E2" t="s">
        <v>308</v>
      </c>
      <c r="F2" t="s">
        <v>307</v>
      </c>
      <c r="G2" t="s">
        <v>308</v>
      </c>
    </row>
    <row r="3" spans="1:7" x14ac:dyDescent="0.3">
      <c r="A3" t="s">
        <v>118</v>
      </c>
      <c r="B3">
        <v>22</v>
      </c>
      <c r="C3">
        <v>160</v>
      </c>
      <c r="D3" s="1">
        <f>B3*D1</f>
        <v>1.4370400000000001</v>
      </c>
      <c r="E3" s="76">
        <f>D3*C4/C3</f>
        <v>0.89815</v>
      </c>
      <c r="F3">
        <f>B3*F1</f>
        <v>2.1757999999999997</v>
      </c>
      <c r="G3">
        <f>F3*C4/C3</f>
        <v>1.3598749999999999</v>
      </c>
    </row>
    <row r="4" spans="1:7" x14ac:dyDescent="0.3">
      <c r="C4">
        <v>100</v>
      </c>
      <c r="E4" s="76">
        <f>E3*5</f>
        <v>4.4907500000000002</v>
      </c>
      <c r="G4">
        <f>G3*5</f>
        <v>6.7993749999999995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0"/>
  <sheetViews>
    <sheetView showGridLines="0" workbookViewId="0">
      <selection activeCell="E26" sqref="E26"/>
    </sheetView>
  </sheetViews>
  <sheetFormatPr baseColWidth="10" defaultRowHeight="14.4" x14ac:dyDescent="0.3"/>
  <cols>
    <col min="1" max="1" width="3.109375" customWidth="1"/>
  </cols>
  <sheetData>
    <row r="2" spans="2:3" x14ac:dyDescent="0.3">
      <c r="B2" t="s">
        <v>411</v>
      </c>
    </row>
    <row r="3" spans="2:3" x14ac:dyDescent="0.3">
      <c r="B3" t="s">
        <v>412</v>
      </c>
    </row>
    <row r="4" spans="2:3" x14ac:dyDescent="0.3">
      <c r="C4" t="s">
        <v>413</v>
      </c>
    </row>
    <row r="5" spans="2:3" x14ac:dyDescent="0.3">
      <c r="C5" t="s">
        <v>414</v>
      </c>
    </row>
    <row r="6" spans="2:3" x14ac:dyDescent="0.3">
      <c r="C6" t="s">
        <v>415</v>
      </c>
    </row>
    <row r="7" spans="2:3" x14ac:dyDescent="0.3">
      <c r="C7" t="s">
        <v>416</v>
      </c>
    </row>
    <row r="8" spans="2:3" x14ac:dyDescent="0.3">
      <c r="C8" t="s">
        <v>417</v>
      </c>
    </row>
    <row r="9" spans="2:3" x14ac:dyDescent="0.3">
      <c r="C9" t="s">
        <v>446</v>
      </c>
    </row>
    <row r="10" spans="2:3" x14ac:dyDescent="0.3">
      <c r="B10" t="s">
        <v>418</v>
      </c>
    </row>
    <row r="13" spans="2:3" x14ac:dyDescent="0.3">
      <c r="B13" t="s">
        <v>419</v>
      </c>
    </row>
    <row r="14" spans="2:3" x14ac:dyDescent="0.3">
      <c r="B14" t="s">
        <v>420</v>
      </c>
    </row>
    <row r="15" spans="2:3" x14ac:dyDescent="0.3">
      <c r="C15" t="s">
        <v>422</v>
      </c>
    </row>
    <row r="16" spans="2:3" x14ac:dyDescent="0.3">
      <c r="C16" t="s">
        <v>421</v>
      </c>
    </row>
    <row r="17" spans="3:3" x14ac:dyDescent="0.3">
      <c r="C17" t="s">
        <v>423</v>
      </c>
    </row>
    <row r="18" spans="3:3" x14ac:dyDescent="0.3">
      <c r="C18" t="s">
        <v>424</v>
      </c>
    </row>
    <row r="19" spans="3:3" x14ac:dyDescent="0.3">
      <c r="C19" t="s">
        <v>425</v>
      </c>
    </row>
    <row r="20" spans="3:3" x14ac:dyDescent="0.3">
      <c r="C20" t="s">
        <v>447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workbookViewId="0">
      <selection activeCell="P7" sqref="P7"/>
    </sheetView>
  </sheetViews>
  <sheetFormatPr baseColWidth="10" defaultRowHeight="14.4" x14ac:dyDescent="0.3"/>
  <cols>
    <col min="1" max="1" width="1.88671875" customWidth="1"/>
    <col min="2" max="2" width="2.6640625" customWidth="1"/>
  </cols>
  <sheetData>
    <row r="1" spans="1:1" x14ac:dyDescent="0.3"/>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1"/>
  <sheetViews>
    <sheetView showGridLines="0" workbookViewId="0">
      <pane xSplit="2" ySplit="6" topLeftCell="C7" activePane="bottomRight" state="frozen"/>
      <selection pane="topRight" activeCell="C1" sqref="C1"/>
      <selection pane="bottomLeft" activeCell="A4" sqref="A4"/>
      <selection pane="bottomRight" activeCell="F10" sqref="F10"/>
    </sheetView>
  </sheetViews>
  <sheetFormatPr baseColWidth="10" defaultRowHeight="14.4" x14ac:dyDescent="0.3"/>
  <cols>
    <col min="1" max="1" width="11.5546875" style="209"/>
    <col min="2" max="2" width="6.88671875" bestFit="1" customWidth="1"/>
    <col min="3" max="3" width="16.6640625" bestFit="1" customWidth="1"/>
    <col min="4" max="4" width="43.21875" customWidth="1"/>
    <col min="5" max="5" width="30.44140625" style="1" customWidth="1"/>
    <col min="6" max="6" width="56.5546875" style="1" bestFit="1" customWidth="1"/>
    <col min="7" max="7" width="30.88671875" style="237" customWidth="1"/>
    <col min="8" max="8" width="13" bestFit="1" customWidth="1"/>
    <col min="9" max="9" width="12" bestFit="1" customWidth="1"/>
  </cols>
  <sheetData>
    <row r="1" spans="1:10 16384:16384" s="2" customFormat="1" ht="18.600000000000001" thickBot="1" x14ac:dyDescent="0.4">
      <c r="A1" s="216" t="s">
        <v>373</v>
      </c>
      <c r="B1" s="214"/>
      <c r="C1" s="214"/>
      <c r="D1" s="210"/>
      <c r="E1" s="211"/>
      <c r="F1" s="211"/>
      <c r="G1" s="232"/>
      <c r="H1" s="210"/>
      <c r="I1" s="210"/>
      <c r="J1" s="210"/>
    </row>
    <row r="2" spans="1:10 16384:16384" s="2" customFormat="1" ht="18" x14ac:dyDescent="0.35">
      <c r="A2" s="217" t="s">
        <v>379</v>
      </c>
      <c r="B2" s="215"/>
      <c r="C2" s="215"/>
      <c r="D2" s="212"/>
      <c r="E2" s="213"/>
      <c r="F2" s="213"/>
      <c r="G2" s="233"/>
      <c r="H2" s="212"/>
      <c r="I2" s="212"/>
      <c r="J2" s="212"/>
    </row>
    <row r="3" spans="1:10 16384:16384" s="2" customFormat="1" ht="18" x14ac:dyDescent="0.35">
      <c r="A3" s="217"/>
      <c r="B3" s="215"/>
      <c r="C3" s="215"/>
      <c r="D3" s="212"/>
      <c r="E3" s="213"/>
      <c r="F3" s="213"/>
      <c r="G3" s="233"/>
      <c r="H3" s="212"/>
      <c r="I3" s="212"/>
      <c r="J3" s="212"/>
    </row>
    <row r="4" spans="1:10 16384:16384" s="228" customFormat="1" ht="30" customHeight="1" x14ac:dyDescent="0.3">
      <c r="A4" s="227"/>
      <c r="B4" s="228" t="s">
        <v>335</v>
      </c>
      <c r="C4" s="228" t="s">
        <v>337</v>
      </c>
      <c r="D4" s="228" t="s">
        <v>338</v>
      </c>
      <c r="E4" s="230" t="s">
        <v>384</v>
      </c>
      <c r="F4" s="229" t="s">
        <v>354</v>
      </c>
      <c r="G4" s="234" t="s">
        <v>387</v>
      </c>
      <c r="H4" s="228" t="s">
        <v>343</v>
      </c>
      <c r="I4" s="228" t="s">
        <v>354</v>
      </c>
    </row>
    <row r="5" spans="1:10 16384:16384" s="13" customFormat="1" x14ac:dyDescent="0.3">
      <c r="A5" s="209"/>
      <c r="C5" s="224" t="s">
        <v>382</v>
      </c>
      <c r="E5" s="207"/>
      <c r="F5" s="207"/>
      <c r="G5" s="235"/>
    </row>
    <row r="6" spans="1:10 16384:16384" s="13" customFormat="1" x14ac:dyDescent="0.3">
      <c r="A6" s="209"/>
      <c r="B6" s="13">
        <f>COUNTIF(B7:B29,"*")</f>
        <v>19</v>
      </c>
      <c r="C6" s="225" t="s">
        <v>381</v>
      </c>
      <c r="E6" s="207">
        <f>SUM(E7:E130)</f>
        <v>572652.84615384613</v>
      </c>
      <c r="F6" s="207">
        <f>E6/B6</f>
        <v>30139.623481781375</v>
      </c>
      <c r="G6" s="235"/>
      <c r="H6" s="108">
        <f>SUM(H7:H102)</f>
        <v>226806</v>
      </c>
      <c r="I6" s="108">
        <f>H6/B6</f>
        <v>11937.157894736842</v>
      </c>
    </row>
    <row r="7" spans="1:10 16384:16384" x14ac:dyDescent="0.3">
      <c r="A7" s="209">
        <v>41852</v>
      </c>
      <c r="B7" t="s">
        <v>336</v>
      </c>
      <c r="C7" s="226" t="s">
        <v>118</v>
      </c>
      <c r="D7" s="41" t="s">
        <v>344</v>
      </c>
      <c r="E7" s="1">
        <v>40000</v>
      </c>
      <c r="F7" s="218" t="s">
        <v>374</v>
      </c>
      <c r="G7" s="239" t="s">
        <v>388</v>
      </c>
      <c r="H7" s="1">
        <v>9555</v>
      </c>
    </row>
    <row r="8" spans="1:10 16384:16384" x14ac:dyDescent="0.3">
      <c r="A8" s="209">
        <v>41883</v>
      </c>
      <c r="B8" t="s">
        <v>339</v>
      </c>
      <c r="C8" s="226" t="s">
        <v>380</v>
      </c>
      <c r="D8" s="41" t="s">
        <v>341</v>
      </c>
      <c r="E8" s="1">
        <v>25000</v>
      </c>
      <c r="F8" s="219"/>
      <c r="G8" s="239" t="s">
        <v>389</v>
      </c>
      <c r="H8" s="1">
        <v>26035</v>
      </c>
      <c r="XFD8" t="s">
        <v>489</v>
      </c>
    </row>
    <row r="9" spans="1:10 16384:16384" x14ac:dyDescent="0.3">
      <c r="A9" s="209">
        <v>41974</v>
      </c>
      <c r="B9" t="s">
        <v>368</v>
      </c>
      <c r="C9" t="s">
        <v>340</v>
      </c>
      <c r="D9" s="41" t="s">
        <v>370</v>
      </c>
      <c r="E9" s="1">
        <v>0</v>
      </c>
      <c r="F9" s="219" t="s">
        <v>369</v>
      </c>
      <c r="G9" s="239" t="s">
        <v>390</v>
      </c>
      <c r="H9" s="1"/>
    </row>
    <row r="10" spans="1:10 16384:16384" x14ac:dyDescent="0.3">
      <c r="A10" s="209">
        <v>42037</v>
      </c>
      <c r="B10" t="s">
        <v>371</v>
      </c>
      <c r="C10" s="226" t="s">
        <v>118</v>
      </c>
      <c r="D10" s="41" t="s">
        <v>372</v>
      </c>
      <c r="E10" s="1">
        <v>46794</v>
      </c>
      <c r="F10" s="219"/>
      <c r="G10" s="236"/>
      <c r="H10" s="1"/>
      <c r="I10" t="s">
        <v>383</v>
      </c>
      <c r="XFD10" t="s">
        <v>490</v>
      </c>
    </row>
    <row r="11" spans="1:10 16384:16384" x14ac:dyDescent="0.3">
      <c r="A11" s="209">
        <v>42087</v>
      </c>
      <c r="B11" t="s">
        <v>348</v>
      </c>
      <c r="C11" s="226" t="s">
        <v>118</v>
      </c>
      <c r="D11" s="41" t="s">
        <v>377</v>
      </c>
      <c r="E11" s="1">
        <f>1584/52*654</f>
        <v>19921.846153846152</v>
      </c>
      <c r="F11" s="220" t="s">
        <v>378</v>
      </c>
      <c r="H11" s="222">
        <v>19000</v>
      </c>
      <c r="I11" t="s">
        <v>385</v>
      </c>
      <c r="XFD11" t="s">
        <v>491</v>
      </c>
    </row>
    <row r="12" spans="1:10 16384:16384" x14ac:dyDescent="0.3">
      <c r="A12" s="209">
        <v>42111</v>
      </c>
      <c r="B12" t="s">
        <v>364</v>
      </c>
      <c r="C12" t="s">
        <v>340</v>
      </c>
      <c r="D12" s="41" t="s">
        <v>363</v>
      </c>
      <c r="E12" s="1">
        <v>26463</v>
      </c>
      <c r="F12" s="219"/>
      <c r="G12" s="236" t="s">
        <v>391</v>
      </c>
      <c r="H12" s="1">
        <v>14000</v>
      </c>
      <c r="I12" t="s">
        <v>342</v>
      </c>
    </row>
    <row r="13" spans="1:10 16384:16384" x14ac:dyDescent="0.3">
      <c r="A13" s="209">
        <v>42123</v>
      </c>
      <c r="B13" t="s">
        <v>350</v>
      </c>
      <c r="C13" t="s">
        <v>340</v>
      </c>
      <c r="D13" s="41" t="s">
        <v>360</v>
      </c>
      <c r="E13" s="1">
        <v>50417</v>
      </c>
      <c r="F13" s="219" t="s">
        <v>362</v>
      </c>
      <c r="G13" s="236" t="s">
        <v>392</v>
      </c>
      <c r="H13" s="1">
        <v>26765</v>
      </c>
      <c r="I13" t="s">
        <v>361</v>
      </c>
      <c r="XFD13" t="s">
        <v>492</v>
      </c>
    </row>
    <row r="14" spans="1:10 16384:16384" x14ac:dyDescent="0.3">
      <c r="A14" s="209">
        <v>42137</v>
      </c>
      <c r="B14" t="s">
        <v>345</v>
      </c>
      <c r="C14" t="s">
        <v>340</v>
      </c>
      <c r="D14" s="41" t="s">
        <v>346</v>
      </c>
      <c r="E14" s="1">
        <v>29400</v>
      </c>
      <c r="F14" s="219"/>
      <c r="G14" s="236" t="s">
        <v>393</v>
      </c>
      <c r="H14" s="1">
        <v>26057</v>
      </c>
    </row>
    <row r="15" spans="1:10 16384:16384" x14ac:dyDescent="0.3">
      <c r="A15" s="209">
        <v>42137</v>
      </c>
      <c r="B15" t="s">
        <v>345</v>
      </c>
      <c r="C15" t="s">
        <v>376</v>
      </c>
      <c r="D15" s="41" t="s">
        <v>347</v>
      </c>
      <c r="E15" s="208">
        <f>-3800-6000</f>
        <v>-9800</v>
      </c>
      <c r="F15" s="221" t="s">
        <v>375</v>
      </c>
      <c r="G15" s="238" t="s">
        <v>394</v>
      </c>
      <c r="H15" s="1">
        <v>18513</v>
      </c>
    </row>
    <row r="16" spans="1:10 16384:16384" x14ac:dyDescent="0.3">
      <c r="A16" s="209">
        <v>42137</v>
      </c>
      <c r="B16" t="s">
        <v>355</v>
      </c>
      <c r="C16" s="226" t="s">
        <v>340</v>
      </c>
      <c r="D16" s="41" t="s">
        <v>352</v>
      </c>
      <c r="E16" s="1">
        <f>49594-26351</f>
        <v>23243</v>
      </c>
      <c r="F16" s="219"/>
      <c r="G16" s="236"/>
      <c r="H16" s="1"/>
    </row>
    <row r="17" spans="1:9 16384:16384" x14ac:dyDescent="0.3">
      <c r="A17" s="209">
        <v>42140</v>
      </c>
      <c r="B17" t="s">
        <v>348</v>
      </c>
      <c r="C17" s="223" t="s">
        <v>340</v>
      </c>
      <c r="D17" s="41" t="s">
        <v>349</v>
      </c>
      <c r="E17" s="1">
        <v>31500</v>
      </c>
      <c r="F17" s="219"/>
      <c r="G17" s="236" t="s">
        <v>395</v>
      </c>
      <c r="H17" s="1"/>
    </row>
    <row r="18" spans="1:9 16384:16384" x14ac:dyDescent="0.3">
      <c r="A18" s="209">
        <v>42145</v>
      </c>
      <c r="B18" t="s">
        <v>339</v>
      </c>
      <c r="C18" t="s">
        <v>357</v>
      </c>
      <c r="D18" s="41" t="s">
        <v>358</v>
      </c>
      <c r="E18" s="1">
        <v>40700</v>
      </c>
      <c r="F18" s="219" t="s">
        <v>359</v>
      </c>
      <c r="G18" s="236" t="s">
        <v>396</v>
      </c>
      <c r="H18" s="1"/>
    </row>
    <row r="19" spans="1:9 16384:16384" x14ac:dyDescent="0.3">
      <c r="A19" s="209">
        <v>42149</v>
      </c>
      <c r="B19" t="s">
        <v>365</v>
      </c>
      <c r="C19" t="s">
        <v>366</v>
      </c>
      <c r="D19" s="41" t="s">
        <v>367</v>
      </c>
      <c r="E19" s="1">
        <v>57126</v>
      </c>
      <c r="F19" s="219"/>
      <c r="G19" s="236" t="s">
        <v>397</v>
      </c>
      <c r="H19" s="1">
        <v>22500</v>
      </c>
      <c r="I19" t="s">
        <v>342</v>
      </c>
    </row>
    <row r="20" spans="1:9 16384:16384" x14ac:dyDescent="0.3">
      <c r="A20" s="209">
        <v>42149</v>
      </c>
      <c r="B20" t="s">
        <v>350</v>
      </c>
      <c r="C20" t="s">
        <v>351</v>
      </c>
      <c r="D20" s="41" t="s">
        <v>352</v>
      </c>
      <c r="E20" s="1">
        <v>24600</v>
      </c>
      <c r="F20" s="219"/>
      <c r="G20" s="236" t="s">
        <v>398</v>
      </c>
      <c r="H20" s="1">
        <v>11000</v>
      </c>
      <c r="I20" t="s">
        <v>353</v>
      </c>
    </row>
    <row r="21" spans="1:9 16384:16384" x14ac:dyDescent="0.3">
      <c r="A21" s="209">
        <v>42149</v>
      </c>
      <c r="B21" t="s">
        <v>339</v>
      </c>
      <c r="C21" t="s">
        <v>340</v>
      </c>
      <c r="D21" s="41" t="s">
        <v>356</v>
      </c>
      <c r="E21" s="1">
        <v>10840</v>
      </c>
      <c r="F21" s="219"/>
      <c r="G21" s="236"/>
      <c r="H21" s="1"/>
    </row>
    <row r="22" spans="1:9 16384:16384" x14ac:dyDescent="0.3">
      <c r="A22" s="209">
        <v>42172</v>
      </c>
      <c r="B22" t="s">
        <v>475</v>
      </c>
      <c r="C22" t="s">
        <v>476</v>
      </c>
      <c r="D22" s="41" t="s">
        <v>477</v>
      </c>
      <c r="E22" s="1">
        <v>75000</v>
      </c>
      <c r="F22" s="220" t="s">
        <v>478</v>
      </c>
      <c r="H22" s="1">
        <v>12350</v>
      </c>
      <c r="I22" t="s">
        <v>479</v>
      </c>
    </row>
    <row r="23" spans="1:9 16384:16384" x14ac:dyDescent="0.3">
      <c r="A23" s="209">
        <v>42192</v>
      </c>
      <c r="B23" t="s">
        <v>339</v>
      </c>
      <c r="C23" s="225" t="s">
        <v>340</v>
      </c>
      <c r="D23" s="41" t="s">
        <v>487</v>
      </c>
      <c r="E23" s="1" t="s">
        <v>488</v>
      </c>
      <c r="F23" s="220"/>
      <c r="H23" s="1"/>
      <c r="XFD23" t="s">
        <v>486</v>
      </c>
    </row>
    <row r="24" spans="1:9 16384:16384" x14ac:dyDescent="0.3">
      <c r="A24" s="209">
        <v>42228</v>
      </c>
      <c r="B24" t="s">
        <v>495</v>
      </c>
      <c r="C24" t="s">
        <v>497</v>
      </c>
      <c r="D24" s="41" t="s">
        <v>496</v>
      </c>
      <c r="E24" s="1">
        <v>32448</v>
      </c>
      <c r="F24" s="220"/>
      <c r="G24" s="237" t="s">
        <v>498</v>
      </c>
      <c r="H24" s="1">
        <v>31</v>
      </c>
      <c r="I24" t="s">
        <v>499</v>
      </c>
    </row>
    <row r="25" spans="1:9 16384:16384" x14ac:dyDescent="0.3">
      <c r="A25" s="209">
        <v>42282</v>
      </c>
      <c r="B25" t="s">
        <v>512</v>
      </c>
      <c r="C25" t="s">
        <v>513</v>
      </c>
      <c r="D25" s="41" t="s">
        <v>514</v>
      </c>
      <c r="E25" s="1">
        <v>49000</v>
      </c>
      <c r="F25" s="220" t="s">
        <v>515</v>
      </c>
      <c r="G25" s="237">
        <v>50</v>
      </c>
      <c r="H25" s="1">
        <v>41000</v>
      </c>
    </row>
    <row r="26" spans="1:9 16384:16384" x14ac:dyDescent="0.3">
      <c r="F26" s="220"/>
      <c r="H26" s="1"/>
    </row>
    <row r="27" spans="1:9 16384:16384" x14ac:dyDescent="0.3">
      <c r="F27" s="220"/>
      <c r="H27" s="1"/>
    </row>
    <row r="28" spans="1:9 16384:16384" x14ac:dyDescent="0.3">
      <c r="F28" s="220"/>
      <c r="H28" s="1"/>
    </row>
    <row r="29" spans="1:9 16384:16384" x14ac:dyDescent="0.3">
      <c r="F29" s="220"/>
      <c r="H29" s="1"/>
    </row>
    <row r="30" spans="1:9 16384:16384" x14ac:dyDescent="0.3">
      <c r="F30" s="220"/>
      <c r="H30" s="1"/>
    </row>
    <row r="31" spans="1:9 16384:16384" x14ac:dyDescent="0.3">
      <c r="F31" s="220"/>
    </row>
  </sheetData>
  <sortState ref="A6:I20">
    <sortCondition ref="A6"/>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1"/>
  <sheetViews>
    <sheetView showGridLines="0" zoomScale="75" zoomScaleNormal="75" workbookViewId="0">
      <selection activeCell="D73" sqref="D73"/>
    </sheetView>
  </sheetViews>
  <sheetFormatPr baseColWidth="10" defaultRowHeight="14.4" x14ac:dyDescent="0.3"/>
  <cols>
    <col min="1" max="1" width="2.6640625" customWidth="1"/>
    <col min="2" max="2" width="54.33203125" customWidth="1"/>
    <col min="3" max="8" width="13.33203125" customWidth="1"/>
    <col min="9" max="12" width="14.21875" customWidth="1"/>
    <col min="13" max="13" width="23.21875" customWidth="1"/>
    <col min="14" max="14" width="30.5546875" hidden="1" customWidth="1"/>
    <col min="15" max="15" width="18.109375" hidden="1" customWidth="1"/>
  </cols>
  <sheetData>
    <row r="1" spans="1:13" ht="8.25" customHeight="1" x14ac:dyDescent="0.25">
      <c r="A1" t="s">
        <v>163</v>
      </c>
    </row>
    <row r="2" spans="1:13" s="56" customFormat="1" ht="27" customHeight="1" x14ac:dyDescent="0.3">
      <c r="B2" s="56" t="s">
        <v>334</v>
      </c>
    </row>
    <row r="3" spans="1:13" x14ac:dyDescent="0.3">
      <c r="B3" s="299" t="s">
        <v>485</v>
      </c>
    </row>
    <row r="4" spans="1:13" ht="15" thickBot="1" x14ac:dyDescent="0.35"/>
    <row r="5" spans="1:13" ht="18.600000000000001" thickBot="1" x14ac:dyDescent="0.4">
      <c r="B5" s="50" t="s">
        <v>31</v>
      </c>
      <c r="C5" s="4"/>
      <c r="E5" s="57" t="s">
        <v>153</v>
      </c>
    </row>
    <row r="6" spans="1:13" x14ac:dyDescent="0.3">
      <c r="B6" s="12" t="s">
        <v>25</v>
      </c>
      <c r="C6" s="44">
        <v>2861</v>
      </c>
      <c r="E6" s="57" t="s">
        <v>87</v>
      </c>
    </row>
    <row r="7" spans="1:13" x14ac:dyDescent="0.3">
      <c r="B7" s="12" t="s">
        <v>6</v>
      </c>
      <c r="C7" s="43">
        <v>20000</v>
      </c>
      <c r="E7" s="57" t="s">
        <v>32</v>
      </c>
    </row>
    <row r="8" spans="1:13" ht="15" thickBot="1" x14ac:dyDescent="0.35">
      <c r="B8" s="3" t="s">
        <v>9</v>
      </c>
      <c r="C8" s="45">
        <v>3.9E-2</v>
      </c>
      <c r="E8" s="57"/>
    </row>
    <row r="9" spans="1:13" x14ac:dyDescent="0.3">
      <c r="B9" s="12" t="s">
        <v>10</v>
      </c>
      <c r="C9" s="46">
        <v>0.09</v>
      </c>
      <c r="E9" s="289" t="s">
        <v>484</v>
      </c>
      <c r="F9" s="290"/>
      <c r="G9" s="290"/>
      <c r="H9" s="290"/>
      <c r="I9" s="290"/>
      <c r="J9" s="290"/>
      <c r="K9" s="290"/>
      <c r="L9" s="290"/>
      <c r="M9" s="291"/>
    </row>
    <row r="10" spans="1:13" x14ac:dyDescent="0.3">
      <c r="B10" s="12" t="s">
        <v>26</v>
      </c>
      <c r="C10" s="47">
        <v>180000</v>
      </c>
      <c r="E10" s="292" t="s">
        <v>480</v>
      </c>
      <c r="F10" s="293"/>
      <c r="G10" s="293"/>
      <c r="H10" s="293"/>
      <c r="I10" s="294"/>
      <c r="J10" s="293"/>
      <c r="K10" s="293"/>
      <c r="L10" s="293"/>
      <c r="M10" s="295"/>
    </row>
    <row r="11" spans="1:13" x14ac:dyDescent="0.3">
      <c r="B11" s="12" t="s">
        <v>29</v>
      </c>
      <c r="C11" s="48">
        <v>36526</v>
      </c>
      <c r="E11" s="292" t="s">
        <v>481</v>
      </c>
      <c r="F11" s="293"/>
      <c r="G11" s="293"/>
      <c r="H11" s="293"/>
      <c r="I11" s="293"/>
      <c r="J11" s="293"/>
      <c r="K11" s="293"/>
      <c r="L11" s="293"/>
      <c r="M11" s="295"/>
    </row>
    <row r="12" spans="1:13" x14ac:dyDescent="0.3">
      <c r="B12" s="12" t="s">
        <v>28</v>
      </c>
      <c r="C12" s="48">
        <v>41911</v>
      </c>
      <c r="E12" s="292" t="s">
        <v>406</v>
      </c>
      <c r="F12" s="293"/>
      <c r="G12" s="293"/>
      <c r="H12" s="293"/>
      <c r="I12" s="293"/>
      <c r="J12" s="293"/>
      <c r="K12" s="293"/>
      <c r="L12" s="293"/>
      <c r="M12" s="295"/>
    </row>
    <row r="13" spans="1:13" x14ac:dyDescent="0.3">
      <c r="B13" s="12" t="s">
        <v>320</v>
      </c>
      <c r="C13" s="190">
        <v>11000</v>
      </c>
      <c r="D13" s="55"/>
      <c r="E13" s="292" t="s">
        <v>482</v>
      </c>
      <c r="F13" s="293"/>
      <c r="G13" s="293"/>
      <c r="H13" s="293"/>
      <c r="I13" s="293"/>
      <c r="J13" s="293"/>
      <c r="K13" s="293"/>
      <c r="L13" s="293"/>
      <c r="M13" s="295"/>
    </row>
    <row r="14" spans="1:13" x14ac:dyDescent="0.3">
      <c r="B14" s="12" t="s">
        <v>311</v>
      </c>
      <c r="C14" s="190">
        <v>8000</v>
      </c>
      <c r="E14" s="292" t="s">
        <v>405</v>
      </c>
      <c r="F14" s="293"/>
      <c r="G14" s="293"/>
      <c r="H14" s="293"/>
      <c r="I14" s="293"/>
      <c r="J14" s="293"/>
      <c r="K14" s="293"/>
      <c r="L14" s="293"/>
      <c r="M14" s="295"/>
    </row>
    <row r="15" spans="1:13" x14ac:dyDescent="0.3">
      <c r="B15" s="198" t="s">
        <v>321</v>
      </c>
      <c r="C15" s="197"/>
      <c r="E15" s="292" t="s">
        <v>483</v>
      </c>
      <c r="F15" s="293"/>
      <c r="G15" s="293"/>
      <c r="H15" s="293"/>
      <c r="I15" s="293"/>
      <c r="J15" s="293"/>
      <c r="K15" s="293"/>
      <c r="L15" s="293"/>
      <c r="M15" s="295"/>
    </row>
    <row r="16" spans="1:13" x14ac:dyDescent="0.3">
      <c r="B16" s="12" t="s">
        <v>27</v>
      </c>
      <c r="C16" s="49">
        <f>(C12-C11)/365</f>
        <v>14.753424657534246</v>
      </c>
      <c r="E16" s="292" t="s">
        <v>407</v>
      </c>
      <c r="F16" s="293"/>
      <c r="G16" s="293"/>
      <c r="H16" s="293"/>
      <c r="I16" s="293"/>
      <c r="J16" s="293"/>
      <c r="K16" s="293"/>
      <c r="L16" s="293"/>
      <c r="M16" s="295"/>
    </row>
    <row r="17" spans="2:15" ht="15" thickBot="1" x14ac:dyDescent="0.35">
      <c r="B17" s="12" t="s">
        <v>36</v>
      </c>
      <c r="C17" s="49">
        <f>C10/C16</f>
        <v>12200.557103064068</v>
      </c>
      <c r="E17" s="296" t="s">
        <v>408</v>
      </c>
      <c r="F17" s="297"/>
      <c r="G17" s="297"/>
      <c r="H17" s="297"/>
      <c r="I17" s="297"/>
      <c r="J17" s="297"/>
      <c r="K17" s="297"/>
      <c r="L17" s="297"/>
      <c r="M17" s="298"/>
    </row>
    <row r="18" spans="2:15" ht="28.8" x14ac:dyDescent="0.3">
      <c r="B18" s="7" t="s">
        <v>30</v>
      </c>
      <c r="C18" s="5"/>
      <c r="E18" s="273" t="s">
        <v>409</v>
      </c>
      <c r="F18" s="274"/>
      <c r="G18" s="274"/>
      <c r="H18" s="274"/>
      <c r="I18" s="274"/>
      <c r="J18" s="274"/>
      <c r="K18" s="274"/>
      <c r="L18" s="274"/>
      <c r="M18" s="274"/>
    </row>
    <row r="19" spans="2:15" ht="15" thickBot="1" x14ac:dyDescent="0.35">
      <c r="B19" s="51" t="s">
        <v>294</v>
      </c>
      <c r="C19" s="6"/>
      <c r="E19" s="288" t="s">
        <v>410</v>
      </c>
    </row>
    <row r="20" spans="2:15" x14ac:dyDescent="0.3">
      <c r="B20" s="275"/>
      <c r="C20" s="276"/>
      <c r="E20" s="288" t="s">
        <v>443</v>
      </c>
    </row>
    <row r="21" spans="2:15" x14ac:dyDescent="0.3">
      <c r="C21" s="15" t="s">
        <v>11</v>
      </c>
      <c r="D21" s="15" t="s">
        <v>12</v>
      </c>
      <c r="E21" s="15" t="s">
        <v>13</v>
      </c>
      <c r="F21" s="15" t="s">
        <v>14</v>
      </c>
      <c r="G21" s="15" t="s">
        <v>15</v>
      </c>
      <c r="H21" s="15" t="s">
        <v>16</v>
      </c>
      <c r="I21" s="15" t="s">
        <v>17</v>
      </c>
      <c r="J21" s="15" t="s">
        <v>18</v>
      </c>
      <c r="K21" s="15" t="s">
        <v>19</v>
      </c>
      <c r="L21" s="15" t="s">
        <v>20</v>
      </c>
    </row>
    <row r="22" spans="2:15" x14ac:dyDescent="0.3">
      <c r="C22" s="231">
        <v>2015</v>
      </c>
      <c r="D22" s="231">
        <v>2016</v>
      </c>
      <c r="E22" s="231">
        <v>2017</v>
      </c>
      <c r="F22" s="231">
        <v>2018</v>
      </c>
      <c r="G22" s="231">
        <v>2019</v>
      </c>
      <c r="H22" s="231">
        <v>2020</v>
      </c>
      <c r="I22" s="231">
        <v>2021</v>
      </c>
      <c r="J22" s="231">
        <v>2022</v>
      </c>
      <c r="K22" s="231">
        <v>2023</v>
      </c>
      <c r="L22" s="231">
        <v>2024</v>
      </c>
    </row>
    <row r="23" spans="2:15" x14ac:dyDescent="0.3">
      <c r="B23" s="319" t="s">
        <v>493</v>
      </c>
      <c r="C23" s="318">
        <f>C7</f>
        <v>20000</v>
      </c>
      <c r="D23" s="318">
        <f>C23+$C$7</f>
        <v>40000</v>
      </c>
      <c r="E23" s="318">
        <f t="shared" ref="E23:L23" si="0">D23+$C$7</f>
        <v>60000</v>
      </c>
      <c r="F23" s="318">
        <f t="shared" si="0"/>
        <v>80000</v>
      </c>
      <c r="G23" s="318">
        <f t="shared" si="0"/>
        <v>100000</v>
      </c>
      <c r="H23" s="318">
        <f t="shared" si="0"/>
        <v>120000</v>
      </c>
      <c r="I23" s="318">
        <f t="shared" si="0"/>
        <v>140000</v>
      </c>
      <c r="J23" s="318">
        <f t="shared" si="0"/>
        <v>160000</v>
      </c>
      <c r="K23" s="318">
        <f t="shared" si="0"/>
        <v>180000</v>
      </c>
      <c r="L23" s="318">
        <f t="shared" si="0"/>
        <v>200000</v>
      </c>
    </row>
    <row r="24" spans="2:15" x14ac:dyDescent="0.3">
      <c r="B24" s="261" t="s">
        <v>426</v>
      </c>
      <c r="C24" s="262">
        <f>97.3*52</f>
        <v>5059.5999999999995</v>
      </c>
      <c r="D24" s="262">
        <f t="shared" ref="D24:I24" si="1">97.3*52</f>
        <v>5059.5999999999995</v>
      </c>
      <c r="E24" s="262">
        <f t="shared" si="1"/>
        <v>5059.5999999999995</v>
      </c>
      <c r="F24" s="262">
        <f t="shared" si="1"/>
        <v>5059.5999999999995</v>
      </c>
      <c r="G24" s="262">
        <f t="shared" si="1"/>
        <v>5059.5999999999995</v>
      </c>
      <c r="H24" s="262">
        <f t="shared" si="1"/>
        <v>5059.5999999999995</v>
      </c>
      <c r="I24" s="262">
        <f t="shared" si="1"/>
        <v>5059.5999999999995</v>
      </c>
      <c r="J24" s="262"/>
      <c r="K24" s="262"/>
      <c r="L24" s="263"/>
      <c r="M24" s="264">
        <f>SUM(C24:L24)</f>
        <v>35417.199999999997</v>
      </c>
      <c r="N24" s="41" t="s">
        <v>2</v>
      </c>
    </row>
    <row r="25" spans="2:15" x14ac:dyDescent="0.3">
      <c r="B25" s="26" t="s">
        <v>427</v>
      </c>
      <c r="C25" s="18"/>
      <c r="D25" s="18"/>
      <c r="E25" s="18"/>
      <c r="F25" s="18"/>
      <c r="G25" s="18"/>
      <c r="H25" s="18"/>
      <c r="I25" s="18"/>
      <c r="J25" s="18"/>
      <c r="K25" s="18"/>
      <c r="L25" s="19"/>
      <c r="M25" s="36">
        <f>SUM(C25:L25)</f>
        <v>0</v>
      </c>
      <c r="N25" s="41"/>
    </row>
    <row r="26" spans="2:15" x14ac:dyDescent="0.3">
      <c r="B26" s="26" t="s">
        <v>429</v>
      </c>
      <c r="C26" s="27">
        <f>C7/100*1.5</f>
        <v>300</v>
      </c>
      <c r="D26" s="27">
        <f t="shared" ref="D26:L26" si="2">C26*$N$26</f>
        <v>306</v>
      </c>
      <c r="E26" s="27">
        <f t="shared" si="2"/>
        <v>312.12</v>
      </c>
      <c r="F26" s="27">
        <f t="shared" si="2"/>
        <v>318.36240000000004</v>
      </c>
      <c r="G26" s="27">
        <f t="shared" si="2"/>
        <v>324.72964800000005</v>
      </c>
      <c r="H26" s="27">
        <f t="shared" si="2"/>
        <v>331.22424096000009</v>
      </c>
      <c r="I26" s="27">
        <f t="shared" si="2"/>
        <v>337.84872577920009</v>
      </c>
      <c r="J26" s="27">
        <f t="shared" si="2"/>
        <v>344.60570029478413</v>
      </c>
      <c r="K26" s="27">
        <f t="shared" si="2"/>
        <v>351.49781430067981</v>
      </c>
      <c r="L26" s="28">
        <f t="shared" si="2"/>
        <v>358.52777058669341</v>
      </c>
      <c r="M26" s="62">
        <f>SUM(C26:L26)</f>
        <v>3284.9162999213572</v>
      </c>
      <c r="N26">
        <f>C80</f>
        <v>1.02</v>
      </c>
      <c r="O26" s="41" t="s">
        <v>3</v>
      </c>
    </row>
    <row r="27" spans="2:15" ht="15" thickBot="1" x14ac:dyDescent="0.35">
      <c r="B27" s="26" t="s">
        <v>428</v>
      </c>
      <c r="C27" s="27">
        <v>100</v>
      </c>
      <c r="D27" s="27">
        <f>C27*1.05</f>
        <v>105</v>
      </c>
      <c r="E27" s="27">
        <f t="shared" ref="E27:L27" si="3">D27*1.05</f>
        <v>110.25</v>
      </c>
      <c r="F27" s="27">
        <f t="shared" si="3"/>
        <v>115.7625</v>
      </c>
      <c r="G27" s="27">
        <f t="shared" si="3"/>
        <v>121.55062500000001</v>
      </c>
      <c r="H27" s="27">
        <f t="shared" si="3"/>
        <v>127.62815625000002</v>
      </c>
      <c r="I27" s="27">
        <f t="shared" si="3"/>
        <v>134.00956406250003</v>
      </c>
      <c r="J27" s="27">
        <f t="shared" si="3"/>
        <v>140.71004226562505</v>
      </c>
      <c r="K27" s="27">
        <f t="shared" si="3"/>
        <v>147.74554437890632</v>
      </c>
      <c r="L27" s="27">
        <f t="shared" si="3"/>
        <v>155.13282159785163</v>
      </c>
      <c r="M27" s="62">
        <f>SUM(C27:L27)</f>
        <v>1257.7892535548831</v>
      </c>
      <c r="O27" s="41"/>
    </row>
    <row r="28" spans="2:15" ht="16.2" thickBot="1" x14ac:dyDescent="0.35">
      <c r="B28" s="248" t="s">
        <v>430</v>
      </c>
      <c r="C28" s="249">
        <f t="shared" ref="C28:L28" si="4">SUM(C24+C26+C27-C25)</f>
        <v>5459.5999999999995</v>
      </c>
      <c r="D28" s="249">
        <f t="shared" si="4"/>
        <v>5470.5999999999995</v>
      </c>
      <c r="E28" s="249">
        <f t="shared" si="4"/>
        <v>5481.9699999999993</v>
      </c>
      <c r="F28" s="249">
        <f t="shared" si="4"/>
        <v>5493.7248999999993</v>
      </c>
      <c r="G28" s="249">
        <f t="shared" si="4"/>
        <v>5505.8802729999998</v>
      </c>
      <c r="H28" s="249">
        <f t="shared" si="4"/>
        <v>5518.4523972099996</v>
      </c>
      <c r="I28" s="249">
        <f t="shared" si="4"/>
        <v>5531.4582898417002</v>
      </c>
      <c r="J28" s="249">
        <f t="shared" si="4"/>
        <v>485.31574256040915</v>
      </c>
      <c r="K28" s="249">
        <f t="shared" si="4"/>
        <v>499.24335867958609</v>
      </c>
      <c r="L28" s="249">
        <f t="shared" si="4"/>
        <v>513.66059218454507</v>
      </c>
      <c r="M28" s="250">
        <f>SUM(C28:L28)</f>
        <v>39959.905553476245</v>
      </c>
      <c r="N28" s="41" t="s">
        <v>21</v>
      </c>
    </row>
    <row r="29" spans="2:15" ht="15.6" x14ac:dyDescent="0.3">
      <c r="B29" s="248" t="s">
        <v>399</v>
      </c>
      <c r="C29" s="249">
        <f>C28</f>
        <v>5459.5999999999995</v>
      </c>
      <c r="D29" s="249">
        <f>D28+C29</f>
        <v>10930.199999999999</v>
      </c>
      <c r="E29" s="249">
        <f t="shared" ref="E29:L29" si="5">E28+D29</f>
        <v>16412.169999999998</v>
      </c>
      <c r="F29" s="249">
        <f t="shared" si="5"/>
        <v>21905.894899999999</v>
      </c>
      <c r="G29" s="249">
        <f t="shared" si="5"/>
        <v>27411.775172999998</v>
      </c>
      <c r="H29" s="249">
        <f t="shared" si="5"/>
        <v>32930.227570210001</v>
      </c>
      <c r="I29" s="249">
        <f t="shared" si="5"/>
        <v>38461.685860051701</v>
      </c>
      <c r="J29" s="249">
        <f t="shared" si="5"/>
        <v>38947.001602612108</v>
      </c>
      <c r="K29" s="249">
        <f t="shared" si="5"/>
        <v>39446.244961291697</v>
      </c>
      <c r="L29" s="249">
        <f t="shared" si="5"/>
        <v>39959.905553476245</v>
      </c>
      <c r="M29" s="250"/>
      <c r="N29" s="41"/>
    </row>
    <row r="30" spans="2:15" ht="15.6" x14ac:dyDescent="0.3">
      <c r="B30" s="251" t="s">
        <v>431</v>
      </c>
      <c r="C30" s="252">
        <f t="shared" ref="C30:I30" si="6">(288.03*52)+C26+600-C25</f>
        <v>15877.559999999998</v>
      </c>
      <c r="D30" s="252">
        <f t="shared" si="6"/>
        <v>15883.559999999998</v>
      </c>
      <c r="E30" s="252">
        <f t="shared" si="6"/>
        <v>15889.679999999998</v>
      </c>
      <c r="F30" s="252">
        <f t="shared" si="6"/>
        <v>15895.922399999998</v>
      </c>
      <c r="G30" s="252">
        <f t="shared" si="6"/>
        <v>15902.289647999998</v>
      </c>
      <c r="H30" s="252">
        <f t="shared" si="6"/>
        <v>15908.784240959998</v>
      </c>
      <c r="I30" s="252">
        <f t="shared" si="6"/>
        <v>15915.408725779198</v>
      </c>
      <c r="J30" s="252">
        <f>J26+600-J25</f>
        <v>944.60570029478413</v>
      </c>
      <c r="K30" s="252">
        <f>K26+600-K25</f>
        <v>951.49781430067981</v>
      </c>
      <c r="L30" s="252">
        <f>L26+600-L25</f>
        <v>958.52777058669335</v>
      </c>
      <c r="M30" s="253">
        <f>SUM(C30:L30)</f>
        <v>114127.83629992133</v>
      </c>
      <c r="N30" s="41"/>
    </row>
    <row r="31" spans="2:15" ht="15.6" x14ac:dyDescent="0.3">
      <c r="B31" s="251" t="s">
        <v>432</v>
      </c>
      <c r="C31" s="252">
        <f>C30</f>
        <v>15877.559999999998</v>
      </c>
      <c r="D31" s="252">
        <f t="shared" ref="D31:L31" si="7">C31+D30</f>
        <v>31761.119999999995</v>
      </c>
      <c r="E31" s="252">
        <f t="shared" si="7"/>
        <v>47650.799999999996</v>
      </c>
      <c r="F31" s="252">
        <f t="shared" si="7"/>
        <v>63546.722399999991</v>
      </c>
      <c r="G31" s="252">
        <f t="shared" si="7"/>
        <v>79449.01204799999</v>
      </c>
      <c r="H31" s="252">
        <f t="shared" si="7"/>
        <v>95357.796288959988</v>
      </c>
      <c r="I31" s="252">
        <f t="shared" si="7"/>
        <v>111273.20501473919</v>
      </c>
      <c r="J31" s="252">
        <f t="shared" si="7"/>
        <v>112217.81071503396</v>
      </c>
      <c r="K31" s="252">
        <f t="shared" si="7"/>
        <v>113169.30852933464</v>
      </c>
      <c r="L31" s="252">
        <f t="shared" si="7"/>
        <v>114127.83629992133</v>
      </c>
      <c r="M31" s="253">
        <f>L31</f>
        <v>114127.83629992133</v>
      </c>
      <c r="N31" s="41"/>
    </row>
    <row r="32" spans="2:15" ht="15.6" x14ac:dyDescent="0.3">
      <c r="B32" s="254" t="s">
        <v>433</v>
      </c>
      <c r="C32" s="255">
        <f>544.91*12+C26+C27-C25</f>
        <v>6938.92</v>
      </c>
      <c r="D32" s="255">
        <f t="shared" ref="D32:I32" si="8">544.91*12+D26+D27-D25</f>
        <v>6949.92</v>
      </c>
      <c r="E32" s="255">
        <f t="shared" si="8"/>
        <v>6961.29</v>
      </c>
      <c r="F32" s="255">
        <f t="shared" si="8"/>
        <v>6973.0448999999999</v>
      </c>
      <c r="G32" s="255">
        <f t="shared" si="8"/>
        <v>6985.2002730000004</v>
      </c>
      <c r="H32" s="255">
        <f t="shared" si="8"/>
        <v>6997.7723972100002</v>
      </c>
      <c r="I32" s="255">
        <f t="shared" si="8"/>
        <v>7010.7782898417008</v>
      </c>
      <c r="J32" s="255">
        <f>J26+J27-J25</f>
        <v>485.31574256040915</v>
      </c>
      <c r="K32" s="255">
        <f t="shared" ref="K32:L32" si="9">K26+K27-K25</f>
        <v>499.24335867958609</v>
      </c>
      <c r="L32" s="255">
        <f t="shared" si="9"/>
        <v>513.66059218454507</v>
      </c>
      <c r="M32" s="256">
        <f>SUM(C32:L32)</f>
        <v>50315.145553476243</v>
      </c>
      <c r="N32" s="41"/>
    </row>
    <row r="33" spans="2:17" ht="15.6" x14ac:dyDescent="0.3">
      <c r="B33" s="257" t="s">
        <v>434</v>
      </c>
      <c r="C33" s="258">
        <f>C32</f>
        <v>6938.92</v>
      </c>
      <c r="D33" s="258">
        <f t="shared" ref="D33:I33" si="10">D32+C33</f>
        <v>13888.84</v>
      </c>
      <c r="E33" s="258">
        <f t="shared" si="10"/>
        <v>20850.13</v>
      </c>
      <c r="F33" s="258">
        <f t="shared" si="10"/>
        <v>27823.174900000002</v>
      </c>
      <c r="G33" s="258">
        <f t="shared" si="10"/>
        <v>34808.375173</v>
      </c>
      <c r="H33" s="258">
        <f t="shared" si="10"/>
        <v>41806.14757021</v>
      </c>
      <c r="I33" s="258">
        <f t="shared" si="10"/>
        <v>48816.925860051699</v>
      </c>
      <c r="J33" s="258">
        <f>I33+J32</f>
        <v>49302.241602612106</v>
      </c>
      <c r="K33" s="258">
        <f t="shared" ref="K33:L33" si="11">J33+K32</f>
        <v>49801.484961291695</v>
      </c>
      <c r="L33" s="258">
        <f t="shared" si="11"/>
        <v>50315.145553476243</v>
      </c>
      <c r="M33" s="256">
        <f>L33</f>
        <v>50315.145553476243</v>
      </c>
      <c r="N33" s="41"/>
    </row>
    <row r="34" spans="2:17" ht="9.75" customHeight="1" x14ac:dyDescent="0.3">
      <c r="C34" s="1"/>
      <c r="D34" s="1"/>
      <c r="E34" s="1"/>
      <c r="F34" s="1"/>
      <c r="G34" s="1"/>
      <c r="H34" s="1"/>
      <c r="I34" s="1"/>
      <c r="J34" s="1"/>
      <c r="K34" s="1"/>
      <c r="L34" s="1"/>
      <c r="M34" s="9"/>
      <c r="N34" s="41"/>
    </row>
    <row r="35" spans="2:17" x14ac:dyDescent="0.3">
      <c r="B35" s="25" t="s">
        <v>435</v>
      </c>
      <c r="C35" s="16">
        <f>92.47*52</f>
        <v>4808.4399999999996</v>
      </c>
      <c r="D35" s="16">
        <f t="shared" ref="D35:I35" si="12">92.47*52</f>
        <v>4808.4399999999996</v>
      </c>
      <c r="E35" s="16">
        <f t="shared" si="12"/>
        <v>4808.4399999999996</v>
      </c>
      <c r="F35" s="16">
        <f t="shared" si="12"/>
        <v>4808.4399999999996</v>
      </c>
      <c r="G35" s="16">
        <f t="shared" si="12"/>
        <v>4808.4399999999996</v>
      </c>
      <c r="H35" s="16">
        <f t="shared" si="12"/>
        <v>4808.4399999999996</v>
      </c>
      <c r="I35" s="16">
        <f t="shared" si="12"/>
        <v>4808.4399999999996</v>
      </c>
      <c r="J35" s="16"/>
      <c r="K35" s="16"/>
      <c r="L35" s="16"/>
      <c r="M35" s="32">
        <f>SUM(C35:L35)</f>
        <v>33659.079999999994</v>
      </c>
      <c r="N35" s="41" t="s">
        <v>4</v>
      </c>
    </row>
    <row r="36" spans="2:17" x14ac:dyDescent="0.3">
      <c r="B36" s="20" t="s">
        <v>436</v>
      </c>
      <c r="C36" s="21">
        <f>C6</f>
        <v>2861</v>
      </c>
      <c r="D36" s="21">
        <f t="shared" ref="D36:L36" si="13">C36*$N$36</f>
        <v>3004.05</v>
      </c>
      <c r="E36" s="21">
        <f t="shared" si="13"/>
        <v>3154.2525000000005</v>
      </c>
      <c r="F36" s="21">
        <f t="shared" si="13"/>
        <v>3311.9651250000006</v>
      </c>
      <c r="G36" s="21">
        <f t="shared" si="13"/>
        <v>3477.5633812500009</v>
      </c>
      <c r="H36" s="21">
        <f t="shared" si="13"/>
        <v>3651.441550312501</v>
      </c>
      <c r="I36" s="21">
        <f t="shared" si="13"/>
        <v>3834.0136278281261</v>
      </c>
      <c r="J36" s="21">
        <f t="shared" si="13"/>
        <v>4025.7143092195324</v>
      </c>
      <c r="K36" s="21">
        <f t="shared" si="13"/>
        <v>4227.0000246805093</v>
      </c>
      <c r="L36" s="22">
        <f t="shared" si="13"/>
        <v>4438.3500259145349</v>
      </c>
      <c r="M36" s="63">
        <f>SUM(C36:L36)</f>
        <v>35985.350544205205</v>
      </c>
      <c r="N36">
        <f>C81</f>
        <v>1.05</v>
      </c>
      <c r="O36" s="41" t="s">
        <v>5</v>
      </c>
    </row>
    <row r="37" spans="2:17" x14ac:dyDescent="0.3">
      <c r="B37" s="20" t="s">
        <v>437</v>
      </c>
      <c r="C37" s="18">
        <v>500</v>
      </c>
      <c r="D37" s="18">
        <f>C37*1.05</f>
        <v>525</v>
      </c>
      <c r="E37" s="18">
        <f t="shared" ref="E37:L37" si="14">D37*1.05</f>
        <v>551.25</v>
      </c>
      <c r="F37" s="18">
        <f t="shared" si="14"/>
        <v>578.8125</v>
      </c>
      <c r="G37" s="18">
        <f t="shared" si="14"/>
        <v>607.75312500000007</v>
      </c>
      <c r="H37" s="18">
        <f t="shared" si="14"/>
        <v>638.14078125000015</v>
      </c>
      <c r="I37" s="18">
        <f t="shared" si="14"/>
        <v>670.04782031250022</v>
      </c>
      <c r="J37" s="18">
        <f t="shared" si="14"/>
        <v>703.55021132812522</v>
      </c>
      <c r="K37" s="18">
        <f t="shared" si="14"/>
        <v>738.72772189453156</v>
      </c>
      <c r="L37" s="18">
        <f t="shared" si="14"/>
        <v>775.66410798925813</v>
      </c>
      <c r="M37" s="32">
        <f>SUM(C37:L37)</f>
        <v>6288.9462677744159</v>
      </c>
      <c r="N37" s="41"/>
    </row>
    <row r="38" spans="2:17" ht="15.6" x14ac:dyDescent="0.3">
      <c r="B38" s="54" t="s">
        <v>438</v>
      </c>
      <c r="C38" s="58">
        <f t="shared" ref="C38:L38" si="15">C36+C35+C37-C25</f>
        <v>8169.44</v>
      </c>
      <c r="D38" s="58">
        <f t="shared" si="15"/>
        <v>8337.49</v>
      </c>
      <c r="E38" s="58">
        <f t="shared" si="15"/>
        <v>8513.942500000001</v>
      </c>
      <c r="F38" s="58">
        <f t="shared" si="15"/>
        <v>8699.2176250000011</v>
      </c>
      <c r="G38" s="58">
        <f t="shared" si="15"/>
        <v>8893.7565062499998</v>
      </c>
      <c r="H38" s="58">
        <f t="shared" si="15"/>
        <v>9098.0223315625008</v>
      </c>
      <c r="I38" s="58">
        <f t="shared" si="15"/>
        <v>9312.501448140627</v>
      </c>
      <c r="J38" s="58">
        <f t="shared" si="15"/>
        <v>4729.2645205476574</v>
      </c>
      <c r="K38" s="58">
        <f t="shared" si="15"/>
        <v>4965.7277465750412</v>
      </c>
      <c r="L38" s="58">
        <f t="shared" si="15"/>
        <v>5214.0141339037928</v>
      </c>
      <c r="M38" s="67">
        <f>SUM(C38:L38)</f>
        <v>75933.376811979615</v>
      </c>
      <c r="N38" s="41" t="s">
        <v>22</v>
      </c>
    </row>
    <row r="39" spans="2:17" ht="16.2" thickBot="1" x14ac:dyDescent="0.35">
      <c r="B39" s="54" t="s">
        <v>402</v>
      </c>
      <c r="C39" s="58">
        <f>C38</f>
        <v>8169.44</v>
      </c>
      <c r="D39" s="58">
        <f t="shared" ref="D39:L39" si="16">C39+D38</f>
        <v>16506.93</v>
      </c>
      <c r="E39" s="58">
        <f t="shared" si="16"/>
        <v>25020.872500000001</v>
      </c>
      <c r="F39" s="58">
        <f t="shared" si="16"/>
        <v>33720.090125000002</v>
      </c>
      <c r="G39" s="58">
        <f t="shared" si="16"/>
        <v>42613.846631250002</v>
      </c>
      <c r="H39" s="58">
        <f t="shared" si="16"/>
        <v>51711.868962812499</v>
      </c>
      <c r="I39" s="58">
        <f t="shared" si="16"/>
        <v>61024.370410953125</v>
      </c>
      <c r="J39" s="58">
        <f t="shared" si="16"/>
        <v>65753.634931500783</v>
      </c>
      <c r="K39" s="58">
        <f t="shared" si="16"/>
        <v>70719.36267807582</v>
      </c>
      <c r="L39" s="58">
        <f t="shared" si="16"/>
        <v>75933.376811979615</v>
      </c>
      <c r="M39" s="278"/>
      <c r="N39" s="41"/>
    </row>
    <row r="40" spans="2:17" x14ac:dyDescent="0.3">
      <c r="B40" s="240" t="s">
        <v>154</v>
      </c>
      <c r="C40" s="241">
        <f t="shared" ref="C40:L40" si="17">C38/12</f>
        <v>680.78666666666663</v>
      </c>
      <c r="D40" s="241">
        <f t="shared" si="17"/>
        <v>694.79083333333335</v>
      </c>
      <c r="E40" s="241">
        <f t="shared" si="17"/>
        <v>709.49520833333338</v>
      </c>
      <c r="F40" s="241">
        <f t="shared" si="17"/>
        <v>724.93480208333347</v>
      </c>
      <c r="G40" s="241">
        <f t="shared" si="17"/>
        <v>741.14637552083332</v>
      </c>
      <c r="H40" s="241">
        <f t="shared" si="17"/>
        <v>758.16852763020836</v>
      </c>
      <c r="I40" s="241">
        <f t="shared" si="17"/>
        <v>776.04178734505228</v>
      </c>
      <c r="J40" s="241">
        <f t="shared" si="17"/>
        <v>394.1053767123048</v>
      </c>
      <c r="K40" s="241">
        <f t="shared" si="17"/>
        <v>413.8106455479201</v>
      </c>
      <c r="L40" s="241">
        <f t="shared" si="17"/>
        <v>434.50117782531606</v>
      </c>
      <c r="M40" s="242"/>
    </row>
    <row r="41" spans="2:17" x14ac:dyDescent="0.3">
      <c r="B41" s="265" t="s">
        <v>155</v>
      </c>
      <c r="C41" s="266">
        <f>C28/12</f>
        <v>454.96666666666664</v>
      </c>
      <c r="D41" s="266">
        <f t="shared" ref="D41:L41" si="18">D28/12</f>
        <v>455.88333333333327</v>
      </c>
      <c r="E41" s="266">
        <f t="shared" si="18"/>
        <v>456.83083333333326</v>
      </c>
      <c r="F41" s="266">
        <f t="shared" si="18"/>
        <v>457.81040833333327</v>
      </c>
      <c r="G41" s="266">
        <f t="shared" si="18"/>
        <v>458.82335608333329</v>
      </c>
      <c r="H41" s="266">
        <f t="shared" si="18"/>
        <v>459.8710331008333</v>
      </c>
      <c r="I41" s="266">
        <f t="shared" si="18"/>
        <v>460.95485748680835</v>
      </c>
      <c r="J41" s="266">
        <f t="shared" si="18"/>
        <v>40.442978546700765</v>
      </c>
      <c r="K41" s="266">
        <f t="shared" si="18"/>
        <v>41.603613223298844</v>
      </c>
      <c r="L41" s="266">
        <f t="shared" si="18"/>
        <v>42.805049348712089</v>
      </c>
      <c r="M41" s="243"/>
    </row>
    <row r="42" spans="2:17" ht="15.6" x14ac:dyDescent="0.3">
      <c r="B42" s="269" t="s">
        <v>400</v>
      </c>
      <c r="C42" s="252">
        <f>C30/12</f>
        <v>1323.1299999999999</v>
      </c>
      <c r="D42" s="252">
        <f t="shared" ref="D42:L42" si="19">D30/12</f>
        <v>1323.6299999999999</v>
      </c>
      <c r="E42" s="252">
        <f t="shared" si="19"/>
        <v>1324.1399999999999</v>
      </c>
      <c r="F42" s="252">
        <f t="shared" si="19"/>
        <v>1324.6601999999998</v>
      </c>
      <c r="G42" s="252">
        <f t="shared" si="19"/>
        <v>1325.1908039999998</v>
      </c>
      <c r="H42" s="252">
        <f t="shared" si="19"/>
        <v>1325.7320200799998</v>
      </c>
      <c r="I42" s="252">
        <f t="shared" si="19"/>
        <v>1326.2840604815999</v>
      </c>
      <c r="J42" s="252">
        <f t="shared" si="19"/>
        <v>78.717141691232015</v>
      </c>
      <c r="K42" s="252">
        <f t="shared" si="19"/>
        <v>79.291484525056646</v>
      </c>
      <c r="L42" s="252">
        <f t="shared" si="19"/>
        <v>79.877314215557774</v>
      </c>
      <c r="M42" s="270"/>
    </row>
    <row r="43" spans="2:17" ht="15.6" x14ac:dyDescent="0.3">
      <c r="B43" s="271" t="s">
        <v>401</v>
      </c>
      <c r="C43" s="255">
        <f>C32/12</f>
        <v>578.24333333333334</v>
      </c>
      <c r="D43" s="255">
        <f t="shared" ref="D43:L43" si="20">D32/12</f>
        <v>579.16</v>
      </c>
      <c r="E43" s="255">
        <f t="shared" si="20"/>
        <v>580.10749999999996</v>
      </c>
      <c r="F43" s="255">
        <f t="shared" si="20"/>
        <v>581.08707500000003</v>
      </c>
      <c r="G43" s="255">
        <f t="shared" si="20"/>
        <v>582.10002274999999</v>
      </c>
      <c r="H43" s="255">
        <f t="shared" si="20"/>
        <v>583.14769976750006</v>
      </c>
      <c r="I43" s="255">
        <f t="shared" si="20"/>
        <v>584.23152415347511</v>
      </c>
      <c r="J43" s="255">
        <f t="shared" si="20"/>
        <v>40.442978546700765</v>
      </c>
      <c r="K43" s="255">
        <f t="shared" si="20"/>
        <v>41.603613223298844</v>
      </c>
      <c r="L43" s="255">
        <f t="shared" si="20"/>
        <v>42.805049348712089</v>
      </c>
      <c r="M43" s="272"/>
    </row>
    <row r="44" spans="2:17" ht="15.6" x14ac:dyDescent="0.3">
      <c r="B44" s="267" t="s">
        <v>439</v>
      </c>
      <c r="C44" s="268">
        <f>C40-C41</f>
        <v>225.82</v>
      </c>
      <c r="D44" s="268">
        <f t="shared" ref="D44:L44" si="21">D40-D41</f>
        <v>238.90750000000008</v>
      </c>
      <c r="E44" s="268">
        <f t="shared" si="21"/>
        <v>252.66437500000012</v>
      </c>
      <c r="F44" s="268">
        <f t="shared" si="21"/>
        <v>267.12439375000019</v>
      </c>
      <c r="G44" s="268">
        <f t="shared" si="21"/>
        <v>282.32301943750002</v>
      </c>
      <c r="H44" s="268">
        <f t="shared" si="21"/>
        <v>298.29749452937506</v>
      </c>
      <c r="I44" s="268">
        <f t="shared" si="21"/>
        <v>315.08692985824393</v>
      </c>
      <c r="J44" s="268">
        <f t="shared" si="21"/>
        <v>353.66239816560403</v>
      </c>
      <c r="K44" s="268">
        <f t="shared" si="21"/>
        <v>372.20703232462125</v>
      </c>
      <c r="L44" s="268">
        <f t="shared" si="21"/>
        <v>391.69612847660397</v>
      </c>
      <c r="M44" s="245"/>
    </row>
    <row r="45" spans="2:17" ht="15.6" x14ac:dyDescent="0.3">
      <c r="B45" s="246" t="s">
        <v>404</v>
      </c>
      <c r="C45" s="260">
        <f>C42-C40</f>
        <v>642.34333333333325</v>
      </c>
      <c r="D45" s="260">
        <f t="shared" ref="D45:L45" si="22">D42-D40</f>
        <v>628.83916666666653</v>
      </c>
      <c r="E45" s="260">
        <f t="shared" si="22"/>
        <v>614.64479166666649</v>
      </c>
      <c r="F45" s="260">
        <f t="shared" si="22"/>
        <v>599.72539791666634</v>
      </c>
      <c r="G45" s="260">
        <f t="shared" si="22"/>
        <v>584.04442847916653</v>
      </c>
      <c r="H45" s="260">
        <f t="shared" si="22"/>
        <v>567.5634924497914</v>
      </c>
      <c r="I45" s="260">
        <f t="shared" si="22"/>
        <v>550.24227313654762</v>
      </c>
      <c r="J45" s="260">
        <f t="shared" si="22"/>
        <v>-315.38823502107277</v>
      </c>
      <c r="K45" s="260">
        <f t="shared" si="22"/>
        <v>-334.51916102286344</v>
      </c>
      <c r="L45" s="260">
        <f t="shared" si="22"/>
        <v>-354.6238636097583</v>
      </c>
      <c r="M45" s="247"/>
    </row>
    <row r="46" spans="2:17" ht="15" thickBot="1" x14ac:dyDescent="0.35">
      <c r="B46" s="244" t="s">
        <v>403</v>
      </c>
      <c r="C46" s="259">
        <f>C43-C40</f>
        <v>-102.54333333333329</v>
      </c>
      <c r="D46" s="259">
        <f t="shared" ref="D46:L46" si="23">D43-D40</f>
        <v>-115.63083333333338</v>
      </c>
      <c r="E46" s="259">
        <f t="shared" si="23"/>
        <v>-129.38770833333342</v>
      </c>
      <c r="F46" s="259">
        <f t="shared" si="23"/>
        <v>-143.84772708333344</v>
      </c>
      <c r="G46" s="259">
        <f t="shared" si="23"/>
        <v>-159.04635277083332</v>
      </c>
      <c r="H46" s="259">
        <f t="shared" si="23"/>
        <v>-175.0208278627083</v>
      </c>
      <c r="I46" s="259">
        <f t="shared" si="23"/>
        <v>-191.81026319157718</v>
      </c>
      <c r="J46" s="259">
        <f t="shared" si="23"/>
        <v>-353.66239816560403</v>
      </c>
      <c r="K46" s="259">
        <f t="shared" si="23"/>
        <v>-372.20703232462125</v>
      </c>
      <c r="L46" s="259">
        <f t="shared" si="23"/>
        <v>-391.69612847660397</v>
      </c>
      <c r="M46" s="281"/>
    </row>
    <row r="47" spans="2:17" ht="46.2" x14ac:dyDescent="0.85">
      <c r="B47" s="55"/>
      <c r="L47" s="10" t="s">
        <v>440</v>
      </c>
      <c r="M47" s="282">
        <f>M38-M28</f>
        <v>35973.47125850337</v>
      </c>
      <c r="N47" s="279">
        <f>M47/10</f>
        <v>3597.3471258503369</v>
      </c>
      <c r="O47" s="2" t="s">
        <v>38</v>
      </c>
      <c r="P47" s="2"/>
      <c r="Q47" s="2"/>
    </row>
    <row r="48" spans="2:17" ht="31.2" x14ac:dyDescent="0.6">
      <c r="B48" s="199"/>
      <c r="L48" s="10" t="s">
        <v>442</v>
      </c>
      <c r="M48" s="283">
        <f>M38-M30</f>
        <v>-38194.459487941713</v>
      </c>
      <c r="N48" s="280" t="e">
        <f>#REF!*10</f>
        <v>#REF!</v>
      </c>
      <c r="O48" s="59" t="s">
        <v>37</v>
      </c>
    </row>
    <row r="49" spans="2:15" ht="31.8" thickBot="1" x14ac:dyDescent="0.65">
      <c r="B49" s="199"/>
      <c r="L49" s="10" t="s">
        <v>441</v>
      </c>
      <c r="M49" s="284">
        <f>M38-M32</f>
        <v>25618.231258503372</v>
      </c>
      <c r="N49" s="40"/>
      <c r="O49" s="277"/>
    </row>
    <row r="50" spans="2:15" ht="18" x14ac:dyDescent="0.35">
      <c r="B50" s="55"/>
      <c r="L50" s="14"/>
      <c r="M50" s="40"/>
    </row>
    <row r="51" spans="2:15" ht="18" x14ac:dyDescent="0.35">
      <c r="B51" s="55"/>
      <c r="L51" s="14"/>
      <c r="M51" s="40"/>
    </row>
    <row r="52" spans="2:15" ht="18" x14ac:dyDescent="0.35">
      <c r="L52" s="14"/>
      <c r="M52" s="40"/>
    </row>
    <row r="53" spans="2:15" ht="18" x14ac:dyDescent="0.35">
      <c r="L53" s="14"/>
      <c r="M53" s="40"/>
    </row>
    <row r="54" spans="2:15" ht="18" x14ac:dyDescent="0.35">
      <c r="L54" s="14"/>
      <c r="M54" s="40"/>
    </row>
    <row r="55" spans="2:15" ht="18" x14ac:dyDescent="0.35">
      <c r="L55" s="14"/>
      <c r="M55" s="40"/>
    </row>
    <row r="56" spans="2:15" ht="18" x14ac:dyDescent="0.35">
      <c r="L56" s="14"/>
      <c r="M56" s="40"/>
    </row>
    <row r="57" spans="2:15" ht="18" x14ac:dyDescent="0.35">
      <c r="L57" s="14"/>
      <c r="M57" s="40"/>
    </row>
    <row r="58" spans="2:15" ht="18" x14ac:dyDescent="0.35">
      <c r="L58" s="14"/>
      <c r="M58" s="40"/>
    </row>
    <row r="59" spans="2:15" ht="18" x14ac:dyDescent="0.35">
      <c r="L59" s="14"/>
      <c r="M59" s="40"/>
    </row>
    <row r="60" spans="2:15" ht="18" x14ac:dyDescent="0.35">
      <c r="L60" s="14"/>
      <c r="M60" s="40"/>
    </row>
    <row r="61" spans="2:15" ht="18" x14ac:dyDescent="0.35">
      <c r="L61" s="14"/>
      <c r="M61" s="40"/>
    </row>
    <row r="62" spans="2:15" ht="18" x14ac:dyDescent="0.35">
      <c r="L62" s="14"/>
      <c r="M62" s="40"/>
    </row>
    <row r="63" spans="2:15" x14ac:dyDescent="0.3">
      <c r="B63" t="s">
        <v>7</v>
      </c>
    </row>
    <row r="64" spans="2:15" ht="15" thickBot="1" x14ac:dyDescent="0.35"/>
    <row r="65" spans="2:6" ht="15" thickTop="1" x14ac:dyDescent="0.3">
      <c r="B65" s="334" t="s">
        <v>312</v>
      </c>
      <c r="C65" s="335"/>
      <c r="D65" s="336"/>
      <c r="F65" s="200" t="s">
        <v>212</v>
      </c>
    </row>
    <row r="66" spans="2:6" x14ac:dyDescent="0.3">
      <c r="B66" s="201"/>
      <c r="C66" s="201" t="s">
        <v>313</v>
      </c>
      <c r="D66" s="202">
        <f>M47</f>
        <v>35973.47125850337</v>
      </c>
      <c r="F66" s="199" t="s">
        <v>327</v>
      </c>
    </row>
    <row r="67" spans="2:6" x14ac:dyDescent="0.3">
      <c r="B67" s="192"/>
      <c r="C67" s="82"/>
      <c r="D67" s="193"/>
      <c r="F67" s="55" t="s">
        <v>35</v>
      </c>
    </row>
    <row r="68" spans="2:6" x14ac:dyDescent="0.3">
      <c r="B68" s="337" t="s">
        <v>325</v>
      </c>
      <c r="C68" s="338"/>
      <c r="D68" s="339"/>
      <c r="F68" s="55" t="s">
        <v>34</v>
      </c>
    </row>
    <row r="69" spans="2:6" x14ac:dyDescent="0.3">
      <c r="B69" s="194"/>
      <c r="C69" s="191" t="s">
        <v>314</v>
      </c>
      <c r="D69" s="195">
        <f>SUM(C35:E37)</f>
        <v>25020.872499999998</v>
      </c>
      <c r="F69" s="55" t="s">
        <v>33</v>
      </c>
    </row>
    <row r="70" spans="2:6" x14ac:dyDescent="0.3">
      <c r="B70" s="194"/>
      <c r="C70" s="191" t="s">
        <v>330</v>
      </c>
      <c r="D70" s="196">
        <f>C13</f>
        <v>11000</v>
      </c>
    </row>
    <row r="71" spans="2:6" x14ac:dyDescent="0.3">
      <c r="B71" s="194"/>
      <c r="C71" s="191" t="s">
        <v>323</v>
      </c>
      <c r="D71" s="195">
        <f>C14</f>
        <v>8000</v>
      </c>
    </row>
    <row r="72" spans="2:6" ht="30" customHeight="1" x14ac:dyDescent="0.3">
      <c r="B72" s="340" t="s">
        <v>332</v>
      </c>
      <c r="C72" s="341"/>
      <c r="D72" s="203">
        <f>D70-D71+D69</f>
        <v>28020.872499999998</v>
      </c>
    </row>
    <row r="73" spans="2:6" ht="30" customHeight="1" thickBot="1" x14ac:dyDescent="0.35">
      <c r="B73" s="205"/>
      <c r="C73" s="204" t="s">
        <v>331</v>
      </c>
      <c r="D73" s="206">
        <f>M36/1.15</f>
        <v>31291.609168874093</v>
      </c>
    </row>
    <row r="74" spans="2:6" ht="15" thickTop="1" x14ac:dyDescent="0.3"/>
    <row r="75" spans="2:6" x14ac:dyDescent="0.3">
      <c r="B75" t="s">
        <v>444</v>
      </c>
    </row>
    <row r="80" spans="2:6" hidden="1" x14ac:dyDescent="0.3">
      <c r="B80" t="s">
        <v>23</v>
      </c>
      <c r="C80">
        <v>1.02</v>
      </c>
      <c r="D80" t="s">
        <v>3</v>
      </c>
      <c r="E80" t="s">
        <v>1</v>
      </c>
    </row>
    <row r="81" spans="2:4" hidden="1" x14ac:dyDescent="0.3">
      <c r="B81" t="s">
        <v>24</v>
      </c>
      <c r="C81">
        <v>1.05</v>
      </c>
      <c r="D81" t="s">
        <v>8</v>
      </c>
    </row>
  </sheetData>
  <mergeCells count="3">
    <mergeCell ref="B65:D65"/>
    <mergeCell ref="B68:D68"/>
    <mergeCell ref="B72:C72"/>
  </mergeCells>
  <hyperlinks>
    <hyperlink ref="B19" r:id="rId1"/>
    <hyperlink ref="B15" r:id="rId2"/>
    <hyperlink ref="F69" r:id="rId3"/>
    <hyperlink ref="F68" r:id="rId4"/>
    <hyperlink ref="F67" r:id="rId5"/>
    <hyperlink ref="F66" r:id="rId6"/>
    <hyperlink ref="F65" r:id="rId7"/>
  </hyperlinks>
  <pageMargins left="0.70866141732283472" right="0.70866141732283472" top="0.74803149606299213" bottom="0.74803149606299213" header="0.31496062992125984" footer="0.31496062992125984"/>
  <pageSetup scale="47" fitToHeight="2" orientation="landscape" r:id="rId8"/>
  <rowBreaks count="1" manualBreakCount="1">
    <brk id="51" max="16383" man="1"/>
  </rowBreaks>
  <drawing r:id="rId9"/>
  <legacyDrawing r:id="rId1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81"/>
  <sheetViews>
    <sheetView showGridLines="0" zoomScale="75" zoomScaleNormal="75" workbookViewId="0">
      <selection activeCell="D78" sqref="D78"/>
    </sheetView>
  </sheetViews>
  <sheetFormatPr baseColWidth="10" defaultRowHeight="14.4" x14ac:dyDescent="0.3"/>
  <cols>
    <col min="1" max="1" width="2.6640625" customWidth="1"/>
    <col min="2" max="2" width="60" customWidth="1"/>
    <col min="3" max="3" width="13.33203125" customWidth="1"/>
    <col min="4" max="4" width="14.77734375" customWidth="1"/>
    <col min="5" max="10" width="13.33203125" customWidth="1"/>
    <col min="11" max="12" width="12.33203125" customWidth="1"/>
    <col min="13" max="13" width="17.5546875" customWidth="1"/>
    <col min="14" max="14" width="31.5546875" hidden="1" customWidth="1"/>
    <col min="15" max="15" width="29" hidden="1" customWidth="1"/>
  </cols>
  <sheetData>
    <row r="1" spans="2:13" ht="8.25" customHeight="1" x14ac:dyDescent="0.25"/>
    <row r="2" spans="2:13" s="56" customFormat="1" ht="38.25" customHeight="1" x14ac:dyDescent="0.3">
      <c r="B2" s="342" t="s">
        <v>75</v>
      </c>
      <c r="C2" s="342"/>
      <c r="D2" s="342"/>
      <c r="E2" s="342"/>
      <c r="F2" s="342"/>
      <c r="G2" s="342"/>
      <c r="H2" s="342"/>
      <c r="I2" s="342"/>
      <c r="J2" s="342"/>
      <c r="K2" s="342"/>
      <c r="L2" s="342"/>
      <c r="M2" s="342"/>
    </row>
    <row r="3" spans="2:13" ht="6" customHeight="1" thickBot="1" x14ac:dyDescent="0.3"/>
    <row r="4" spans="2:13" ht="18.600000000000001" thickBot="1" x14ac:dyDescent="0.4">
      <c r="B4" s="50" t="s">
        <v>39</v>
      </c>
      <c r="C4" s="4"/>
    </row>
    <row r="5" spans="2:13" x14ac:dyDescent="0.3">
      <c r="B5" s="12" t="s">
        <v>40</v>
      </c>
      <c r="C5" s="44">
        <f>55*52</f>
        <v>2860</v>
      </c>
      <c r="E5" s="57" t="s">
        <v>152</v>
      </c>
    </row>
    <row r="6" spans="2:13" x14ac:dyDescent="0.3">
      <c r="B6" s="12" t="s">
        <v>76</v>
      </c>
      <c r="C6" s="43">
        <v>25550</v>
      </c>
      <c r="E6" s="57" t="s">
        <v>86</v>
      </c>
    </row>
    <row r="7" spans="2:13" x14ac:dyDescent="0.3">
      <c r="B7" s="3" t="s">
        <v>41</v>
      </c>
      <c r="C7" s="45">
        <v>3.9E-2</v>
      </c>
      <c r="E7" s="57" t="s">
        <v>78</v>
      </c>
    </row>
    <row r="8" spans="2:13" x14ac:dyDescent="0.3">
      <c r="B8" s="12" t="s">
        <v>42</v>
      </c>
      <c r="C8" s="46">
        <v>0.09</v>
      </c>
      <c r="E8" s="57"/>
    </row>
    <row r="9" spans="2:13" ht="15" x14ac:dyDescent="0.25">
      <c r="B9" s="12" t="s">
        <v>43</v>
      </c>
      <c r="C9" s="47">
        <v>180000</v>
      </c>
      <c r="E9" s="57"/>
    </row>
    <row r="10" spans="2:13" x14ac:dyDescent="0.3">
      <c r="B10" s="12" t="s">
        <v>44</v>
      </c>
      <c r="C10" s="48">
        <v>36526</v>
      </c>
      <c r="E10" s="57" t="s">
        <v>48</v>
      </c>
    </row>
    <row r="11" spans="2:13" x14ac:dyDescent="0.3">
      <c r="B11" s="12" t="s">
        <v>45</v>
      </c>
      <c r="C11" s="48">
        <v>41911</v>
      </c>
      <c r="E11" s="13"/>
    </row>
    <row r="12" spans="2:13" x14ac:dyDescent="0.3">
      <c r="B12" s="12" t="s">
        <v>46</v>
      </c>
      <c r="C12" s="49">
        <f>(C11-C10)/365</f>
        <v>14.753424657534246</v>
      </c>
      <c r="E12" s="13"/>
    </row>
    <row r="13" spans="2:13" x14ac:dyDescent="0.3">
      <c r="B13" s="12" t="s">
        <v>47</v>
      </c>
      <c r="C13" s="49">
        <f>C9/C12</f>
        <v>12200.557103064068</v>
      </c>
      <c r="E13" s="13"/>
    </row>
    <row r="14" spans="2:13" x14ac:dyDescent="0.3">
      <c r="B14" s="12" t="s">
        <v>318</v>
      </c>
      <c r="C14" s="190">
        <v>11000</v>
      </c>
      <c r="E14" s="13"/>
    </row>
    <row r="15" spans="2:13" x14ac:dyDescent="0.3">
      <c r="B15" s="12" t="s">
        <v>319</v>
      </c>
      <c r="C15" s="190">
        <v>8000</v>
      </c>
      <c r="E15" s="13"/>
    </row>
    <row r="16" spans="2:13" x14ac:dyDescent="0.3">
      <c r="B16" s="198" t="s">
        <v>321</v>
      </c>
      <c r="C16" s="197"/>
      <c r="E16" s="13"/>
    </row>
    <row r="17" spans="2:15" ht="28.8" x14ac:dyDescent="0.3">
      <c r="B17" s="7" t="s">
        <v>77</v>
      </c>
      <c r="C17" s="5"/>
    </row>
    <row r="18" spans="2:15" ht="15" thickBot="1" x14ac:dyDescent="0.35">
      <c r="B18" s="51" t="s">
        <v>294</v>
      </c>
      <c r="C18" s="6"/>
    </row>
    <row r="19" spans="2:15" x14ac:dyDescent="0.3">
      <c r="C19" s="15" t="s">
        <v>49</v>
      </c>
      <c r="D19" s="15" t="s">
        <v>50</v>
      </c>
      <c r="E19" s="15" t="s">
        <v>51</v>
      </c>
      <c r="F19" s="15" t="s">
        <v>52</v>
      </c>
      <c r="G19" s="15" t="s">
        <v>53</v>
      </c>
      <c r="H19" s="15" t="s">
        <v>54</v>
      </c>
      <c r="I19" s="15" t="s">
        <v>55</v>
      </c>
      <c r="J19" s="15" t="s">
        <v>56</v>
      </c>
      <c r="K19" s="15" t="s">
        <v>57</v>
      </c>
      <c r="L19" s="15" t="s">
        <v>58</v>
      </c>
    </row>
    <row r="20" spans="2:15" x14ac:dyDescent="0.3">
      <c r="B20" s="319" t="s">
        <v>494</v>
      </c>
      <c r="C20">
        <f>C6</f>
        <v>25550</v>
      </c>
      <c r="D20">
        <f>C20+$C$6</f>
        <v>51100</v>
      </c>
      <c r="E20">
        <f t="shared" ref="E20:L20" si="0">D20+$C$6</f>
        <v>76650</v>
      </c>
      <c r="F20">
        <f t="shared" si="0"/>
        <v>102200</v>
      </c>
      <c r="G20">
        <f t="shared" si="0"/>
        <v>127750</v>
      </c>
      <c r="H20">
        <f t="shared" si="0"/>
        <v>153300</v>
      </c>
      <c r="I20">
        <f t="shared" si="0"/>
        <v>178850</v>
      </c>
      <c r="J20">
        <f t="shared" si="0"/>
        <v>204400</v>
      </c>
      <c r="K20">
        <f t="shared" si="0"/>
        <v>229950</v>
      </c>
      <c r="L20">
        <f t="shared" si="0"/>
        <v>255500</v>
      </c>
    </row>
    <row r="21" spans="2:15" x14ac:dyDescent="0.3">
      <c r="B21" s="31" t="s">
        <v>148</v>
      </c>
      <c r="C21" s="16">
        <f>97.3*52</f>
        <v>5059.5999999999995</v>
      </c>
      <c r="D21" s="16">
        <f t="shared" ref="D21:I21" si="1">97.3*52</f>
        <v>5059.5999999999995</v>
      </c>
      <c r="E21" s="16">
        <f t="shared" si="1"/>
        <v>5059.5999999999995</v>
      </c>
      <c r="F21" s="16">
        <f t="shared" si="1"/>
        <v>5059.5999999999995</v>
      </c>
      <c r="G21" s="16">
        <f t="shared" si="1"/>
        <v>5059.5999999999995</v>
      </c>
      <c r="H21" s="16">
        <f t="shared" si="1"/>
        <v>5059.5999999999995</v>
      </c>
      <c r="I21" s="16">
        <f t="shared" si="1"/>
        <v>5059.5999999999995</v>
      </c>
      <c r="J21" s="16"/>
      <c r="K21" s="16"/>
      <c r="L21" s="17"/>
      <c r="M21" s="35">
        <f>SUM(C21:L21)</f>
        <v>35417.199999999997</v>
      </c>
      <c r="N21" s="41" t="s">
        <v>64</v>
      </c>
    </row>
    <row r="22" spans="2:15" x14ac:dyDescent="0.3">
      <c r="B22" s="26" t="s">
        <v>149</v>
      </c>
      <c r="C22" s="18">
        <f>477.66*12</f>
        <v>5731.92</v>
      </c>
      <c r="D22" s="18">
        <f>477.66*12</f>
        <v>5731.92</v>
      </c>
      <c r="E22" s="18">
        <f>477.66*12</f>
        <v>5731.92</v>
      </c>
      <c r="F22" s="18">
        <f>477.66*12</f>
        <v>5731.92</v>
      </c>
      <c r="G22" s="18">
        <f>477.66*12</f>
        <v>5731.92</v>
      </c>
      <c r="H22" s="18"/>
      <c r="I22" s="18"/>
      <c r="J22" s="18"/>
      <c r="K22" s="18"/>
      <c r="L22" s="19"/>
      <c r="M22" s="36">
        <f>SUM(C22:L22)</f>
        <v>28659.599999999999</v>
      </c>
      <c r="N22" s="41" t="s">
        <v>60</v>
      </c>
    </row>
    <row r="23" spans="2:15" x14ac:dyDescent="0.3">
      <c r="B23" s="26" t="s">
        <v>79</v>
      </c>
      <c r="C23" s="27">
        <f>C21/12</f>
        <v>421.63333333333327</v>
      </c>
      <c r="D23" s="27">
        <f t="shared" ref="D23:I23" si="2">D21/12</f>
        <v>421.63333333333327</v>
      </c>
      <c r="E23" s="27">
        <f t="shared" si="2"/>
        <v>421.63333333333327</v>
      </c>
      <c r="F23" s="27">
        <f t="shared" si="2"/>
        <v>421.63333333333327</v>
      </c>
      <c r="G23" s="27">
        <f t="shared" si="2"/>
        <v>421.63333333333327</v>
      </c>
      <c r="H23" s="27">
        <f t="shared" si="2"/>
        <v>421.63333333333327</v>
      </c>
      <c r="I23" s="27">
        <f t="shared" si="2"/>
        <v>421.63333333333327</v>
      </c>
      <c r="J23" s="27"/>
      <c r="K23" s="27"/>
      <c r="L23" s="28"/>
      <c r="M23" s="36">
        <f>M21-M22</f>
        <v>6757.5999999999985</v>
      </c>
      <c r="N23" s="42" t="s">
        <v>65</v>
      </c>
    </row>
    <row r="24" spans="2:15" x14ac:dyDescent="0.3">
      <c r="B24" s="26" t="s">
        <v>59</v>
      </c>
      <c r="C24" s="27">
        <f>C6/100</f>
        <v>255.5</v>
      </c>
      <c r="D24" s="27">
        <f t="shared" ref="D24:L24" si="3">C24*$N$24</f>
        <v>260.61</v>
      </c>
      <c r="E24" s="27">
        <f t="shared" si="3"/>
        <v>265.82220000000001</v>
      </c>
      <c r="F24" s="27">
        <f t="shared" si="3"/>
        <v>271.138644</v>
      </c>
      <c r="G24" s="27">
        <f t="shared" si="3"/>
        <v>276.56141688000002</v>
      </c>
      <c r="H24" s="27">
        <f t="shared" si="3"/>
        <v>282.09264521760002</v>
      </c>
      <c r="I24" s="27">
        <f t="shared" si="3"/>
        <v>287.73449812195202</v>
      </c>
      <c r="J24" s="27">
        <f t="shared" si="3"/>
        <v>293.48918808439106</v>
      </c>
      <c r="K24" s="27">
        <f t="shared" si="3"/>
        <v>299.35897184607887</v>
      </c>
      <c r="L24" s="28">
        <f t="shared" si="3"/>
        <v>305.34615128300044</v>
      </c>
      <c r="M24" s="62">
        <f>SUM(C24:L24)</f>
        <v>2797.6537154330222</v>
      </c>
      <c r="N24">
        <f>C80</f>
        <v>1.02</v>
      </c>
      <c r="O24" s="41" t="s">
        <v>68</v>
      </c>
    </row>
    <row r="25" spans="2:15" ht="15" thickBot="1" x14ac:dyDescent="0.35">
      <c r="B25" s="26" t="s">
        <v>310</v>
      </c>
      <c r="C25" s="27">
        <v>75</v>
      </c>
      <c r="D25" s="27">
        <f>C25*1.05</f>
        <v>78.75</v>
      </c>
      <c r="E25" s="27">
        <f t="shared" ref="E25:L25" si="4">D25*1.05</f>
        <v>82.6875</v>
      </c>
      <c r="F25" s="27">
        <f t="shared" si="4"/>
        <v>86.821875000000006</v>
      </c>
      <c r="G25" s="27">
        <f t="shared" si="4"/>
        <v>91.162968750000005</v>
      </c>
      <c r="H25" s="27">
        <f t="shared" si="4"/>
        <v>95.721117187500013</v>
      </c>
      <c r="I25" s="27">
        <f t="shared" si="4"/>
        <v>100.50717304687502</v>
      </c>
      <c r="J25" s="27">
        <f t="shared" si="4"/>
        <v>105.53253169921878</v>
      </c>
      <c r="K25" s="27">
        <f t="shared" si="4"/>
        <v>110.80915828417972</v>
      </c>
      <c r="L25" s="27">
        <f t="shared" si="4"/>
        <v>116.3496161983887</v>
      </c>
      <c r="M25" s="62">
        <f>SUM(C25:L25)</f>
        <v>943.3419401661622</v>
      </c>
      <c r="O25" s="41"/>
    </row>
    <row r="26" spans="2:15" ht="16.2" thickBot="1" x14ac:dyDescent="0.35">
      <c r="B26" s="53" t="s">
        <v>64</v>
      </c>
      <c r="C26" s="52">
        <f>SUM(C21+C24+C25)</f>
        <v>5390.0999999999995</v>
      </c>
      <c r="D26" s="52">
        <f t="shared" ref="D26:L26" si="5">SUM(D21+D24+D25)</f>
        <v>5398.9599999999991</v>
      </c>
      <c r="E26" s="52">
        <f t="shared" si="5"/>
        <v>5408.1096999999991</v>
      </c>
      <c r="F26" s="52">
        <f t="shared" si="5"/>
        <v>5417.5605189999987</v>
      </c>
      <c r="G26" s="52">
        <f t="shared" si="5"/>
        <v>5427.3243856299996</v>
      </c>
      <c r="H26" s="52">
        <f t="shared" si="5"/>
        <v>5437.4137624050991</v>
      </c>
      <c r="I26" s="52">
        <f t="shared" si="5"/>
        <v>5447.8416711688269</v>
      </c>
      <c r="J26" s="52">
        <f t="shared" si="5"/>
        <v>399.02171978360985</v>
      </c>
      <c r="K26" s="52">
        <f t="shared" si="5"/>
        <v>410.16813013025859</v>
      </c>
      <c r="L26" s="52">
        <f t="shared" si="5"/>
        <v>421.69576748138911</v>
      </c>
      <c r="M26" s="37">
        <f>SUM(C26:L26)</f>
        <v>39158.195655599186</v>
      </c>
      <c r="N26" s="41" t="s">
        <v>66</v>
      </c>
    </row>
    <row r="27" spans="2:15" ht="4.5" customHeight="1" thickBot="1" x14ac:dyDescent="0.35">
      <c r="B27" s="53"/>
      <c r="C27" s="52">
        <f>C26</f>
        <v>5390.0999999999995</v>
      </c>
      <c r="D27" s="52">
        <f>D26+C27</f>
        <v>10789.059999999998</v>
      </c>
      <c r="E27" s="52">
        <f t="shared" ref="E27:L27" si="6">E26+D27</f>
        <v>16197.169699999997</v>
      </c>
      <c r="F27" s="52">
        <f t="shared" si="6"/>
        <v>21614.730218999997</v>
      </c>
      <c r="G27" s="52">
        <f t="shared" si="6"/>
        <v>27042.054604629997</v>
      </c>
      <c r="H27" s="52">
        <f t="shared" si="6"/>
        <v>32479.468367035097</v>
      </c>
      <c r="I27" s="52">
        <f t="shared" si="6"/>
        <v>37927.310038203927</v>
      </c>
      <c r="J27" s="52">
        <f t="shared" si="6"/>
        <v>38326.331757987537</v>
      </c>
      <c r="K27" s="52">
        <f t="shared" si="6"/>
        <v>38736.499888117796</v>
      </c>
      <c r="L27" s="52">
        <f t="shared" si="6"/>
        <v>39158.195655599186</v>
      </c>
      <c r="M27" s="37"/>
      <c r="N27" s="41"/>
    </row>
    <row r="28" spans="2:15" ht="16.2" thickBot="1" x14ac:dyDescent="0.35">
      <c r="B28" s="26" t="s">
        <v>60</v>
      </c>
      <c r="C28" s="27">
        <f>C22+C24+C25</f>
        <v>6062.42</v>
      </c>
      <c r="D28" s="27">
        <f t="shared" ref="D28:L28" si="7">D22+D24+D25</f>
        <v>6071.28</v>
      </c>
      <c r="E28" s="27">
        <f t="shared" si="7"/>
        <v>6080.4296999999997</v>
      </c>
      <c r="F28" s="27">
        <f t="shared" si="7"/>
        <v>6089.8805189999994</v>
      </c>
      <c r="G28" s="27">
        <f t="shared" si="7"/>
        <v>6099.6443856300002</v>
      </c>
      <c r="H28" s="27">
        <f t="shared" si="7"/>
        <v>377.81376240510002</v>
      </c>
      <c r="I28" s="27">
        <f t="shared" si="7"/>
        <v>388.24167116882705</v>
      </c>
      <c r="J28" s="27">
        <f t="shared" si="7"/>
        <v>399.02171978360985</v>
      </c>
      <c r="K28" s="27">
        <f t="shared" si="7"/>
        <v>410.16813013025859</v>
      </c>
      <c r="L28" s="27">
        <f t="shared" si="7"/>
        <v>421.69576748138911</v>
      </c>
      <c r="M28" s="38">
        <f>SUM(C28:L28)</f>
        <v>32400.595655599187</v>
      </c>
      <c r="N28" s="41" t="s">
        <v>66</v>
      </c>
    </row>
    <row r="29" spans="2:15" ht="15.6" x14ac:dyDescent="0.3">
      <c r="B29" s="26" t="s">
        <v>147</v>
      </c>
      <c r="C29" s="27">
        <f>C26/12</f>
        <v>449.17499999999995</v>
      </c>
      <c r="D29" s="27">
        <f t="shared" ref="D29:L29" si="8">D26/12</f>
        <v>449.91333333333324</v>
      </c>
      <c r="E29" s="27">
        <f t="shared" si="8"/>
        <v>450.67580833333324</v>
      </c>
      <c r="F29" s="27">
        <f t="shared" si="8"/>
        <v>451.46337658333323</v>
      </c>
      <c r="G29" s="27">
        <f t="shared" si="8"/>
        <v>452.27703213583328</v>
      </c>
      <c r="H29" s="27">
        <f t="shared" si="8"/>
        <v>453.11781353375824</v>
      </c>
      <c r="I29" s="27">
        <f t="shared" si="8"/>
        <v>453.98680593073556</v>
      </c>
      <c r="J29" s="27">
        <f t="shared" si="8"/>
        <v>33.25180998196749</v>
      </c>
      <c r="K29" s="27">
        <f t="shared" si="8"/>
        <v>34.180677510854885</v>
      </c>
      <c r="L29" s="27">
        <f t="shared" si="8"/>
        <v>35.141313956782426</v>
      </c>
      <c r="M29" s="39"/>
      <c r="N29" s="41"/>
    </row>
    <row r="30" spans="2:15" ht="15.6" x14ac:dyDescent="0.3">
      <c r="B30" s="26" t="s">
        <v>61</v>
      </c>
      <c r="C30" s="27">
        <f>980.84*12+C24</f>
        <v>12025.58</v>
      </c>
      <c r="D30" s="27">
        <f t="shared" ref="D30:I30" si="9">980.84*12+D24</f>
        <v>12030.69</v>
      </c>
      <c r="E30" s="27">
        <f t="shared" si="9"/>
        <v>12035.9022</v>
      </c>
      <c r="F30" s="27">
        <f t="shared" si="9"/>
        <v>12041.218644</v>
      </c>
      <c r="G30" s="27">
        <f t="shared" si="9"/>
        <v>12046.64141688</v>
      </c>
      <c r="H30" s="27">
        <f t="shared" si="9"/>
        <v>12052.172645217601</v>
      </c>
      <c r="I30" s="27">
        <f t="shared" si="9"/>
        <v>12057.814498121952</v>
      </c>
      <c r="J30" s="27">
        <f>J24</f>
        <v>293.48918808439106</v>
      </c>
      <c r="K30" s="27">
        <f t="shared" ref="K30:L30" si="10">K24</f>
        <v>299.35897184607887</v>
      </c>
      <c r="L30" s="27">
        <f t="shared" si="10"/>
        <v>305.34615128300044</v>
      </c>
      <c r="M30" s="39">
        <f>SUM(C30:L30)+SUM(C24:L24)</f>
        <v>87985.867430866056</v>
      </c>
      <c r="N30" s="41"/>
    </row>
    <row r="31" spans="2:15" ht="0.75" customHeight="1" x14ac:dyDescent="0.3">
      <c r="B31" s="26"/>
      <c r="C31" s="27">
        <f>C30</f>
        <v>12025.58</v>
      </c>
      <c r="D31" s="27">
        <f>D30+C31</f>
        <v>24056.27</v>
      </c>
      <c r="E31" s="27">
        <f t="shared" ref="E31:L31" si="11">E30+D31</f>
        <v>36092.172200000001</v>
      </c>
      <c r="F31" s="27">
        <f t="shared" si="11"/>
        <v>48133.390844000001</v>
      </c>
      <c r="G31" s="27">
        <f t="shared" si="11"/>
        <v>60180.032260880005</v>
      </c>
      <c r="H31" s="27">
        <f t="shared" si="11"/>
        <v>72232.204906097613</v>
      </c>
      <c r="I31" s="27">
        <f t="shared" si="11"/>
        <v>84290.019404219565</v>
      </c>
      <c r="J31" s="27">
        <f t="shared" si="11"/>
        <v>84583.508592303959</v>
      </c>
      <c r="K31" s="27">
        <f t="shared" si="11"/>
        <v>84882.86756415003</v>
      </c>
      <c r="L31" s="27">
        <f t="shared" si="11"/>
        <v>85188.213715433027</v>
      </c>
      <c r="M31" s="39"/>
      <c r="N31" s="41"/>
    </row>
    <row r="32" spans="2:15" ht="15.6" x14ac:dyDescent="0.3">
      <c r="B32" s="29" t="s">
        <v>62</v>
      </c>
      <c r="C32" s="30">
        <f>544.91*12+C24</f>
        <v>6794.42</v>
      </c>
      <c r="D32" s="30">
        <f t="shared" ref="D32:I32" si="12">544.91*12+D24</f>
        <v>6799.53</v>
      </c>
      <c r="E32" s="30">
        <f t="shared" si="12"/>
        <v>6804.7421999999997</v>
      </c>
      <c r="F32" s="30">
        <f t="shared" si="12"/>
        <v>6810.0586439999997</v>
      </c>
      <c r="G32" s="30">
        <f t="shared" si="12"/>
        <v>6815.4814168800003</v>
      </c>
      <c r="H32" s="30">
        <f t="shared" si="12"/>
        <v>6821.0126452176</v>
      </c>
      <c r="I32" s="30">
        <f t="shared" si="12"/>
        <v>6826.6544981219522</v>
      </c>
      <c r="J32" s="30">
        <f>J24</f>
        <v>293.48918808439106</v>
      </c>
      <c r="K32" s="30">
        <f t="shared" ref="K32:L32" si="13">K24</f>
        <v>299.35897184607887</v>
      </c>
      <c r="L32" s="30">
        <f t="shared" si="13"/>
        <v>305.34615128300044</v>
      </c>
      <c r="M32" s="39">
        <f>SUM(C32:L32)+SUM(C24:L24)</f>
        <v>51367.747430866053</v>
      </c>
      <c r="N32" s="41"/>
    </row>
    <row r="33" spans="2:17" ht="0.75" customHeight="1" x14ac:dyDescent="0.3">
      <c r="B33" s="68"/>
      <c r="C33" s="27">
        <f>C32</f>
        <v>6794.42</v>
      </c>
      <c r="D33" s="27">
        <f>C33+D32</f>
        <v>13593.95</v>
      </c>
      <c r="E33" s="27">
        <f t="shared" ref="E33:L33" si="14">D33+E32</f>
        <v>20398.692200000001</v>
      </c>
      <c r="F33" s="27">
        <f t="shared" si="14"/>
        <v>27208.750844000002</v>
      </c>
      <c r="G33" s="27">
        <f t="shared" si="14"/>
        <v>34024.232260880002</v>
      </c>
      <c r="H33" s="27">
        <f t="shared" si="14"/>
        <v>40845.2449060976</v>
      </c>
      <c r="I33" s="27">
        <f t="shared" si="14"/>
        <v>47671.899404219555</v>
      </c>
      <c r="J33" s="27">
        <f t="shared" si="14"/>
        <v>47965.388592303949</v>
      </c>
      <c r="K33" s="27">
        <f t="shared" si="14"/>
        <v>48264.747564150028</v>
      </c>
      <c r="L33" s="27">
        <f t="shared" si="14"/>
        <v>48570.093715433031</v>
      </c>
      <c r="M33" s="39"/>
      <c r="N33" s="41"/>
    </row>
    <row r="34" spans="2:17" ht="9.75" customHeight="1" x14ac:dyDescent="0.3">
      <c r="C34" s="1"/>
      <c r="D34" s="1"/>
      <c r="E34" s="1"/>
      <c r="F34" s="1"/>
      <c r="G34" s="1"/>
      <c r="H34" s="1"/>
      <c r="I34" s="1"/>
      <c r="J34" s="1"/>
      <c r="K34" s="1"/>
      <c r="L34" s="1"/>
      <c r="M34" s="9"/>
      <c r="N34" s="41"/>
    </row>
    <row r="35" spans="2:17" x14ac:dyDescent="0.3">
      <c r="B35" s="25" t="s">
        <v>80</v>
      </c>
      <c r="C35" s="16">
        <f>92.47*52</f>
        <v>4808.4399999999996</v>
      </c>
      <c r="D35" s="16">
        <f>C35</f>
        <v>4808.4399999999996</v>
      </c>
      <c r="E35" s="16">
        <f t="shared" ref="E35:I35" si="15">D35</f>
        <v>4808.4399999999996</v>
      </c>
      <c r="F35" s="16">
        <f t="shared" si="15"/>
        <v>4808.4399999999996</v>
      </c>
      <c r="G35" s="16">
        <f t="shared" si="15"/>
        <v>4808.4399999999996</v>
      </c>
      <c r="H35" s="16">
        <f t="shared" si="15"/>
        <v>4808.4399999999996</v>
      </c>
      <c r="I35" s="16">
        <f t="shared" si="15"/>
        <v>4808.4399999999996</v>
      </c>
      <c r="J35" s="16"/>
      <c r="K35" s="16"/>
      <c r="L35" s="16"/>
      <c r="M35" s="32">
        <f>SUM(C35:L35)</f>
        <v>33659.079999999994</v>
      </c>
      <c r="N35" s="41" t="s">
        <v>67</v>
      </c>
    </row>
    <row r="36" spans="2:17" x14ac:dyDescent="0.3">
      <c r="B36" s="20" t="s">
        <v>150</v>
      </c>
      <c r="C36" s="21">
        <f>C35/12</f>
        <v>400.70333333333332</v>
      </c>
      <c r="D36" s="21">
        <f t="shared" ref="D36:L36" si="16">D35/12</f>
        <v>400.70333333333332</v>
      </c>
      <c r="E36" s="21">
        <f t="shared" si="16"/>
        <v>400.70333333333332</v>
      </c>
      <c r="F36" s="21">
        <f t="shared" si="16"/>
        <v>400.70333333333332</v>
      </c>
      <c r="G36" s="21">
        <f t="shared" si="16"/>
        <v>400.70333333333332</v>
      </c>
      <c r="H36" s="21">
        <f t="shared" si="16"/>
        <v>400.70333333333332</v>
      </c>
      <c r="I36" s="21">
        <f t="shared" si="16"/>
        <v>400.70333333333332</v>
      </c>
      <c r="J36" s="21">
        <f t="shared" si="16"/>
        <v>0</v>
      </c>
      <c r="K36" s="21">
        <f t="shared" si="16"/>
        <v>0</v>
      </c>
      <c r="L36" s="21">
        <f t="shared" si="16"/>
        <v>0</v>
      </c>
      <c r="M36" s="32"/>
      <c r="N36" s="41"/>
    </row>
    <row r="37" spans="2:17" x14ac:dyDescent="0.3">
      <c r="B37" s="20" t="s">
        <v>63</v>
      </c>
      <c r="C37" s="21">
        <f>C5</f>
        <v>2860</v>
      </c>
      <c r="D37" s="21">
        <f t="shared" ref="D37:L37" si="17">C37*$N$37</f>
        <v>3003</v>
      </c>
      <c r="E37" s="21">
        <f t="shared" si="17"/>
        <v>3153.15</v>
      </c>
      <c r="F37" s="21">
        <f t="shared" si="17"/>
        <v>3310.8075000000003</v>
      </c>
      <c r="G37" s="21">
        <f t="shared" si="17"/>
        <v>3476.3478750000004</v>
      </c>
      <c r="H37" s="21">
        <f t="shared" si="17"/>
        <v>3650.1652687500005</v>
      </c>
      <c r="I37" s="21">
        <f t="shared" si="17"/>
        <v>3832.6735321875008</v>
      </c>
      <c r="J37" s="21">
        <f t="shared" si="17"/>
        <v>4024.3072087968758</v>
      </c>
      <c r="K37" s="21">
        <f t="shared" si="17"/>
        <v>4225.5225692367194</v>
      </c>
      <c r="L37" s="22">
        <f t="shared" si="17"/>
        <v>4436.7986976985558</v>
      </c>
      <c r="M37" s="63">
        <f>SUM(C37:L37)</f>
        <v>35972.772651669657</v>
      </c>
      <c r="N37">
        <f>C81</f>
        <v>1.05</v>
      </c>
      <c r="O37" s="41" t="s">
        <v>69</v>
      </c>
    </row>
    <row r="38" spans="2:17" ht="15" thickBot="1" x14ac:dyDescent="0.35">
      <c r="B38" s="20" t="s">
        <v>151</v>
      </c>
      <c r="C38" s="18">
        <v>500</v>
      </c>
      <c r="D38" s="18">
        <f>C38*1.05</f>
        <v>525</v>
      </c>
      <c r="E38" s="18">
        <f t="shared" ref="E38:L38" si="18">D38*1.05</f>
        <v>551.25</v>
      </c>
      <c r="F38" s="18">
        <f t="shared" si="18"/>
        <v>578.8125</v>
      </c>
      <c r="G38" s="18">
        <f t="shared" si="18"/>
        <v>607.75312500000007</v>
      </c>
      <c r="H38" s="18">
        <f t="shared" si="18"/>
        <v>638.14078125000015</v>
      </c>
      <c r="I38" s="18">
        <f t="shared" si="18"/>
        <v>670.04782031250022</v>
      </c>
      <c r="J38" s="18">
        <f t="shared" si="18"/>
        <v>703.55021132812522</v>
      </c>
      <c r="K38" s="18">
        <f t="shared" si="18"/>
        <v>738.72772189453156</v>
      </c>
      <c r="L38" s="18">
        <f t="shared" si="18"/>
        <v>775.66410798925813</v>
      </c>
      <c r="M38" s="32">
        <f>SUM(C38:L38)</f>
        <v>6288.9462677744159</v>
      </c>
      <c r="N38" s="41"/>
    </row>
    <row r="39" spans="2:17" ht="16.2" thickBot="1" x14ac:dyDescent="0.35">
      <c r="B39" s="54" t="s">
        <v>0</v>
      </c>
      <c r="C39" s="58">
        <f>C37+C35+C38</f>
        <v>8168.44</v>
      </c>
      <c r="D39" s="58">
        <f t="shared" ref="D39:L39" si="19">D37+D35+D38</f>
        <v>8336.4399999999987</v>
      </c>
      <c r="E39" s="58">
        <f t="shared" si="19"/>
        <v>8512.84</v>
      </c>
      <c r="F39" s="58">
        <f t="shared" si="19"/>
        <v>8698.06</v>
      </c>
      <c r="G39" s="58">
        <f t="shared" si="19"/>
        <v>8892.5409999999993</v>
      </c>
      <c r="H39" s="58">
        <f t="shared" si="19"/>
        <v>9096.7460499999997</v>
      </c>
      <c r="I39" s="58">
        <f t="shared" si="19"/>
        <v>9311.1613525000012</v>
      </c>
      <c r="J39" s="58">
        <f t="shared" si="19"/>
        <v>4727.8574201250012</v>
      </c>
      <c r="K39" s="58">
        <f t="shared" si="19"/>
        <v>4964.2502911312513</v>
      </c>
      <c r="L39" s="58">
        <f t="shared" si="19"/>
        <v>5212.4628056878137</v>
      </c>
      <c r="M39" s="34">
        <f>SUM(C39:L39)</f>
        <v>75920.79891944406</v>
      </c>
      <c r="N39" s="41" t="s">
        <v>70</v>
      </c>
    </row>
    <row r="40" spans="2:17" ht="15.6" x14ac:dyDescent="0.3">
      <c r="B40" s="54"/>
      <c r="C40" s="58">
        <f>C39</f>
        <v>8168.44</v>
      </c>
      <c r="D40" s="58">
        <f>D39+C40</f>
        <v>16504.879999999997</v>
      </c>
      <c r="E40" s="58">
        <f t="shared" ref="E40:L40" si="20">E39+D40</f>
        <v>25017.719999999998</v>
      </c>
      <c r="F40" s="58">
        <f t="shared" si="20"/>
        <v>33715.78</v>
      </c>
      <c r="G40" s="58">
        <f t="shared" si="20"/>
        <v>42608.320999999996</v>
      </c>
      <c r="H40" s="58">
        <f t="shared" si="20"/>
        <v>51705.067049999998</v>
      </c>
      <c r="I40" s="58">
        <f t="shared" si="20"/>
        <v>61016.228402499997</v>
      </c>
      <c r="J40" s="58">
        <f t="shared" si="20"/>
        <v>65744.085822624998</v>
      </c>
      <c r="K40" s="58">
        <f t="shared" si="20"/>
        <v>70708.336113756246</v>
      </c>
      <c r="L40" s="58">
        <f t="shared" si="20"/>
        <v>75920.79891944406</v>
      </c>
      <c r="M40" s="67"/>
      <c r="N40" s="41"/>
    </row>
    <row r="41" spans="2:17" x14ac:dyDescent="0.3">
      <c r="B41" s="20" t="s">
        <v>156</v>
      </c>
      <c r="C41" s="134">
        <f>C39/12</f>
        <v>680.70333333333326</v>
      </c>
      <c r="D41" s="134">
        <f t="shared" ref="D41:L41" si="21">D39/12</f>
        <v>694.70333333333326</v>
      </c>
      <c r="E41" s="134">
        <f t="shared" si="21"/>
        <v>709.40333333333331</v>
      </c>
      <c r="F41" s="134">
        <f t="shared" si="21"/>
        <v>724.83833333333325</v>
      </c>
      <c r="G41" s="134">
        <f t="shared" si="21"/>
        <v>741.04508333333331</v>
      </c>
      <c r="H41" s="134">
        <f t="shared" si="21"/>
        <v>758.06217083333331</v>
      </c>
      <c r="I41" s="134">
        <f t="shared" si="21"/>
        <v>775.93011270833347</v>
      </c>
      <c r="J41" s="134">
        <f t="shared" si="21"/>
        <v>393.9881183437501</v>
      </c>
      <c r="K41" s="134">
        <f t="shared" si="21"/>
        <v>413.68752426093761</v>
      </c>
      <c r="L41" s="135">
        <f t="shared" si="21"/>
        <v>434.37190047398445</v>
      </c>
      <c r="M41" s="33"/>
    </row>
    <row r="42" spans="2:17" x14ac:dyDescent="0.3">
      <c r="B42" s="20" t="s">
        <v>157</v>
      </c>
      <c r="C42" s="134">
        <f>C29</f>
        <v>449.17499999999995</v>
      </c>
      <c r="D42" s="134">
        <f t="shared" ref="D42:L42" si="22">D29</f>
        <v>449.91333333333324</v>
      </c>
      <c r="E42" s="134">
        <f t="shared" si="22"/>
        <v>450.67580833333324</v>
      </c>
      <c r="F42" s="134">
        <f t="shared" si="22"/>
        <v>451.46337658333323</v>
      </c>
      <c r="G42" s="134">
        <f t="shared" si="22"/>
        <v>452.27703213583328</v>
      </c>
      <c r="H42" s="134">
        <f t="shared" si="22"/>
        <v>453.11781353375824</v>
      </c>
      <c r="I42" s="134">
        <f t="shared" si="22"/>
        <v>453.98680593073556</v>
      </c>
      <c r="J42" s="134">
        <f t="shared" si="22"/>
        <v>33.25180998196749</v>
      </c>
      <c r="K42" s="134">
        <f t="shared" si="22"/>
        <v>34.180677510854885</v>
      </c>
      <c r="L42" s="134">
        <f t="shared" si="22"/>
        <v>35.141313956782426</v>
      </c>
      <c r="M42" s="33"/>
    </row>
    <row r="43" spans="2:17" x14ac:dyDescent="0.3">
      <c r="B43" s="23" t="s">
        <v>158</v>
      </c>
      <c r="C43" s="24">
        <f>C41-C42</f>
        <v>231.52833333333331</v>
      </c>
      <c r="D43" s="24">
        <f t="shared" ref="D43:L43" si="23">D41-D42</f>
        <v>244.79000000000002</v>
      </c>
      <c r="E43" s="24">
        <f t="shared" si="23"/>
        <v>258.72752500000007</v>
      </c>
      <c r="F43" s="24">
        <f t="shared" si="23"/>
        <v>273.37495675000002</v>
      </c>
      <c r="G43" s="24">
        <f t="shared" si="23"/>
        <v>288.76805119750003</v>
      </c>
      <c r="H43" s="24">
        <f t="shared" si="23"/>
        <v>304.94435729957507</v>
      </c>
      <c r="I43" s="24">
        <f t="shared" si="23"/>
        <v>321.94330677759791</v>
      </c>
      <c r="J43" s="24">
        <f t="shared" si="23"/>
        <v>360.73630836178262</v>
      </c>
      <c r="K43" s="24">
        <f t="shared" si="23"/>
        <v>379.50684675008273</v>
      </c>
      <c r="L43" s="24">
        <f t="shared" si="23"/>
        <v>399.23058651720203</v>
      </c>
      <c r="M43" s="33"/>
    </row>
    <row r="44" spans="2:17" ht="46.2" x14ac:dyDescent="0.85">
      <c r="L44" s="10" t="s">
        <v>71</v>
      </c>
      <c r="M44" s="136">
        <f>M39-M26</f>
        <v>36762.603263844874</v>
      </c>
      <c r="N44" s="131">
        <f>M44/10</f>
        <v>3676.2603263844876</v>
      </c>
      <c r="O44" s="64" t="s">
        <v>81</v>
      </c>
      <c r="P44" s="2"/>
      <c r="Q44" s="2"/>
    </row>
    <row r="45" spans="2:17" ht="18" x14ac:dyDescent="0.35">
      <c r="B45" s="55"/>
      <c r="L45" s="14" t="s">
        <v>74</v>
      </c>
      <c r="M45" s="8">
        <f>N45*10</f>
        <v>14862.722226855018</v>
      </c>
      <c r="N45" s="60">
        <f>((M30-M39)+(SUM(C24:L24)))/10</f>
        <v>1486.2722226855017</v>
      </c>
      <c r="O45" s="66" t="s">
        <v>72</v>
      </c>
    </row>
    <row r="46" spans="2:17" ht="18" x14ac:dyDescent="0.35">
      <c r="B46" s="55"/>
      <c r="L46" s="14" t="s">
        <v>73</v>
      </c>
      <c r="M46" s="11">
        <f>N46*10</f>
        <v>-21755.397773144985</v>
      </c>
      <c r="N46" s="61">
        <f>((M32-M39)+(SUM(C24:L24)))/10</f>
        <v>-2175.5397773144987</v>
      </c>
      <c r="O46" s="65" t="s">
        <v>72</v>
      </c>
    </row>
    <row r="47" spans="2:17" ht="18" x14ac:dyDescent="0.35">
      <c r="B47" s="55"/>
      <c r="L47" s="14"/>
    </row>
    <row r="48" spans="2:17" ht="18" x14ac:dyDescent="0.35">
      <c r="B48" s="55"/>
      <c r="L48" s="14"/>
      <c r="M48" s="40"/>
    </row>
    <row r="49" spans="2:13" ht="18" x14ac:dyDescent="0.35">
      <c r="B49" s="55"/>
      <c r="L49" s="14"/>
      <c r="M49" s="40"/>
    </row>
    <row r="50" spans="2:13" ht="18" x14ac:dyDescent="0.35">
      <c r="B50" s="55"/>
      <c r="L50" s="14"/>
      <c r="M50" s="40"/>
    </row>
    <row r="51" spans="2:13" ht="18" x14ac:dyDescent="0.35">
      <c r="B51" s="55"/>
      <c r="L51" s="14"/>
      <c r="M51" s="40"/>
    </row>
    <row r="52" spans="2:13" ht="18" x14ac:dyDescent="0.35">
      <c r="B52" s="55"/>
      <c r="L52" s="14"/>
      <c r="M52" s="40"/>
    </row>
    <row r="53" spans="2:13" ht="18" x14ac:dyDescent="0.35">
      <c r="B53" s="55"/>
      <c r="L53" s="14"/>
      <c r="M53" s="40"/>
    </row>
    <row r="54" spans="2:13" ht="18" x14ac:dyDescent="0.35">
      <c r="B54" s="55"/>
      <c r="L54" s="14"/>
      <c r="M54" s="40"/>
    </row>
    <row r="55" spans="2:13" ht="18" x14ac:dyDescent="0.35">
      <c r="B55" s="55"/>
      <c r="L55" s="14"/>
      <c r="M55" s="40"/>
    </row>
    <row r="56" spans="2:13" ht="18" x14ac:dyDescent="0.35">
      <c r="B56" s="55"/>
      <c r="L56" s="14"/>
      <c r="M56" s="40"/>
    </row>
    <row r="57" spans="2:13" ht="18" x14ac:dyDescent="0.35">
      <c r="B57" s="55"/>
      <c r="L57" s="14"/>
      <c r="M57" s="40"/>
    </row>
    <row r="58" spans="2:13" ht="18" x14ac:dyDescent="0.35">
      <c r="B58" s="55"/>
      <c r="L58" s="14"/>
      <c r="M58" s="40"/>
    </row>
    <row r="59" spans="2:13" ht="18" x14ac:dyDescent="0.35">
      <c r="B59" s="55"/>
      <c r="L59" s="14"/>
      <c r="M59" s="40"/>
    </row>
    <row r="60" spans="2:13" ht="18" x14ac:dyDescent="0.35">
      <c r="B60" s="55"/>
      <c r="L60" s="14"/>
      <c r="M60" s="40"/>
    </row>
    <row r="61" spans="2:13" ht="18.600000000000001" thickBot="1" x14ac:dyDescent="0.4">
      <c r="B61" s="55"/>
      <c r="L61" s="14"/>
      <c r="M61" s="40"/>
    </row>
    <row r="62" spans="2:13" ht="18.600000000000001" thickTop="1" x14ac:dyDescent="0.35">
      <c r="B62" s="334" t="s">
        <v>315</v>
      </c>
      <c r="C62" s="335"/>
      <c r="D62" s="336"/>
      <c r="F62" s="200" t="s">
        <v>212</v>
      </c>
      <c r="L62" s="14"/>
      <c r="M62" s="40"/>
    </row>
    <row r="63" spans="2:13" ht="18" x14ac:dyDescent="0.35">
      <c r="B63" s="201"/>
      <c r="C63" s="201" t="s">
        <v>316</v>
      </c>
      <c r="D63" s="202">
        <f>M44</f>
        <v>36762.603263844874</v>
      </c>
      <c r="F63" s="55" t="s">
        <v>328</v>
      </c>
      <c r="L63" s="14"/>
      <c r="M63" s="40"/>
    </row>
    <row r="64" spans="2:13" ht="18" x14ac:dyDescent="0.35">
      <c r="B64" s="192"/>
      <c r="C64" s="82"/>
      <c r="D64" s="193"/>
      <c r="F64" s="55" t="s">
        <v>35</v>
      </c>
      <c r="L64" s="14"/>
      <c r="M64" s="40"/>
    </row>
    <row r="65" spans="2:13" ht="18" x14ac:dyDescent="0.35">
      <c r="B65" s="337" t="s">
        <v>326</v>
      </c>
      <c r="C65" s="338"/>
      <c r="D65" s="339"/>
      <c r="F65" s="55" t="s">
        <v>34</v>
      </c>
      <c r="L65" s="14"/>
      <c r="M65" s="40"/>
    </row>
    <row r="66" spans="2:13" ht="18" x14ac:dyDescent="0.35">
      <c r="B66" s="194"/>
      <c r="C66" s="191" t="s">
        <v>317</v>
      </c>
      <c r="D66" s="195">
        <f>SUM(C39:E39)</f>
        <v>25017.719999999998</v>
      </c>
      <c r="F66" s="55" t="s">
        <v>33</v>
      </c>
      <c r="L66" s="14"/>
      <c r="M66" s="40"/>
    </row>
    <row r="67" spans="2:13" ht="18" x14ac:dyDescent="0.35">
      <c r="B67" s="194"/>
      <c r="C67" s="191" t="s">
        <v>329</v>
      </c>
      <c r="D67" s="196">
        <f>C14</f>
        <v>11000</v>
      </c>
      <c r="L67" s="14"/>
      <c r="M67" s="40"/>
    </row>
    <row r="68" spans="2:13" ht="18" x14ac:dyDescent="0.35">
      <c r="B68" s="194"/>
      <c r="C68" s="191" t="s">
        <v>322</v>
      </c>
      <c r="D68" s="195">
        <f>C15</f>
        <v>8000</v>
      </c>
      <c r="L68" s="14"/>
      <c r="M68" s="40"/>
    </row>
    <row r="69" spans="2:13" ht="36" customHeight="1" x14ac:dyDescent="0.35">
      <c r="B69" s="340" t="s">
        <v>324</v>
      </c>
      <c r="C69" s="341"/>
      <c r="D69" s="203">
        <f>D67-D68+D66</f>
        <v>28017.719999999998</v>
      </c>
      <c r="L69" s="14"/>
      <c r="M69" s="40"/>
    </row>
    <row r="70" spans="2:13" ht="18.600000000000001" thickBot="1" x14ac:dyDescent="0.4">
      <c r="B70" s="205"/>
      <c r="C70" s="204" t="s">
        <v>333</v>
      </c>
      <c r="D70" s="206">
        <f>M37/1.15</f>
        <v>31280.671871017094</v>
      </c>
      <c r="L70" s="14"/>
      <c r="M70" s="40"/>
    </row>
    <row r="71" spans="2:13" ht="18.600000000000001" thickTop="1" x14ac:dyDescent="0.35">
      <c r="L71" s="14"/>
      <c r="M71" s="40"/>
    </row>
    <row r="72" spans="2:13" ht="18" x14ac:dyDescent="0.35">
      <c r="L72" s="14"/>
      <c r="M72" s="40"/>
    </row>
    <row r="73" spans="2:13" ht="18" x14ac:dyDescent="0.35">
      <c r="L73" s="14"/>
      <c r="M73" s="40"/>
    </row>
    <row r="74" spans="2:13" ht="18" x14ac:dyDescent="0.35">
      <c r="L74" s="14"/>
      <c r="M74" s="40"/>
    </row>
    <row r="75" spans="2:13" ht="18" x14ac:dyDescent="0.35">
      <c r="L75" s="14"/>
      <c r="M75" s="40"/>
    </row>
    <row r="76" spans="2:13" ht="18" x14ac:dyDescent="0.35">
      <c r="L76" s="14"/>
      <c r="M76" s="40"/>
    </row>
    <row r="77" spans="2:13" ht="18" x14ac:dyDescent="0.35">
      <c r="L77" s="14"/>
      <c r="M77" s="40"/>
    </row>
    <row r="78" spans="2:13" ht="18" x14ac:dyDescent="0.35">
      <c r="L78" s="14"/>
      <c r="M78" s="40"/>
    </row>
    <row r="79" spans="2:13" hidden="1" x14ac:dyDescent="0.3">
      <c r="B79" t="s">
        <v>7</v>
      </c>
    </row>
    <row r="80" spans="2:13" hidden="1" x14ac:dyDescent="0.3">
      <c r="B80" t="s">
        <v>82</v>
      </c>
      <c r="C80">
        <v>1.02</v>
      </c>
      <c r="D80" t="s">
        <v>85</v>
      </c>
    </row>
    <row r="81" spans="2:4" hidden="1" x14ac:dyDescent="0.3">
      <c r="B81" t="s">
        <v>83</v>
      </c>
      <c r="C81">
        <v>1.05</v>
      </c>
      <c r="D81" t="s">
        <v>84</v>
      </c>
    </row>
  </sheetData>
  <mergeCells count="4">
    <mergeCell ref="B2:M2"/>
    <mergeCell ref="B62:D62"/>
    <mergeCell ref="B65:D65"/>
    <mergeCell ref="B69:C69"/>
  </mergeCells>
  <hyperlinks>
    <hyperlink ref="B18" r:id="rId1"/>
    <hyperlink ref="B16" r:id="rId2"/>
    <hyperlink ref="F66" r:id="rId3"/>
    <hyperlink ref="F65" r:id="rId4"/>
    <hyperlink ref="F64" r:id="rId5"/>
    <hyperlink ref="F63" r:id="rId6"/>
    <hyperlink ref="F62" r:id="rId7"/>
  </hyperlinks>
  <pageMargins left="0.70866141732283472" right="0.70866141732283472" top="0.74803149606299213" bottom="0.74803149606299213" header="0.31496062992125984" footer="0.31496062992125984"/>
  <pageSetup scale="57" fitToHeight="2" orientation="landscape" r:id="rId8"/>
  <rowBreaks count="1" manualBreakCount="1">
    <brk id="48" max="12" man="1"/>
  </rowBreaks>
  <drawing r:id="rId9"/>
  <legacyDrawing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topLeftCell="B34" workbookViewId="0">
      <selection activeCell="H18" sqref="H18"/>
    </sheetView>
  </sheetViews>
  <sheetFormatPr baseColWidth="10" defaultRowHeight="14.4" x14ac:dyDescent="0.3"/>
  <sheetData>
    <row r="1" spans="1:16" x14ac:dyDescent="0.3">
      <c r="A1" t="s">
        <v>445</v>
      </c>
    </row>
    <row r="2" spans="1:16" x14ac:dyDescent="0.3">
      <c r="B2" s="56" t="s">
        <v>456</v>
      </c>
    </row>
    <row r="3" spans="1:16" x14ac:dyDescent="0.3">
      <c r="B3" s="56"/>
    </row>
    <row r="4" spans="1:16" x14ac:dyDescent="0.3">
      <c r="B4" s="56"/>
    </row>
    <row r="5" spans="1:16" x14ac:dyDescent="0.3">
      <c r="B5" s="56" t="s">
        <v>448</v>
      </c>
    </row>
    <row r="6" spans="1:16" ht="24.6" customHeight="1" x14ac:dyDescent="0.3">
      <c r="B6" s="342" t="s">
        <v>449</v>
      </c>
      <c r="C6" s="343"/>
      <c r="D6" s="343"/>
      <c r="E6" s="343"/>
      <c r="F6" s="343"/>
      <c r="G6" s="343"/>
      <c r="H6" s="343"/>
      <c r="I6" s="343"/>
      <c r="J6" s="343"/>
      <c r="K6" s="343"/>
      <c r="L6" s="343"/>
      <c r="M6" s="343"/>
      <c r="N6" s="343"/>
      <c r="O6" s="343"/>
      <c r="P6" s="343"/>
    </row>
    <row r="7" spans="1:16" x14ac:dyDescent="0.3">
      <c r="B7" s="56"/>
    </row>
    <row r="8" spans="1:16" x14ac:dyDescent="0.3">
      <c r="B8" s="56"/>
    </row>
    <row r="9" spans="1:16" x14ac:dyDescent="0.3">
      <c r="B9" s="56" t="s">
        <v>459</v>
      </c>
    </row>
    <row r="10" spans="1:16" ht="46.2" customHeight="1" x14ac:dyDescent="0.3">
      <c r="B10" s="342" t="s">
        <v>467</v>
      </c>
      <c r="C10" s="343"/>
      <c r="D10" s="343"/>
      <c r="E10" s="343"/>
      <c r="F10" s="343"/>
      <c r="G10" s="343"/>
      <c r="H10" s="343"/>
      <c r="I10" s="343"/>
      <c r="J10" s="343"/>
      <c r="K10" s="343"/>
      <c r="L10" s="343"/>
      <c r="M10" s="343"/>
      <c r="N10" s="343"/>
      <c r="O10" s="343"/>
      <c r="P10" s="343"/>
    </row>
    <row r="11" spans="1:16" x14ac:dyDescent="0.3">
      <c r="B11" s="56" t="s">
        <v>450</v>
      </c>
    </row>
    <row r="12" spans="1:16" x14ac:dyDescent="0.3">
      <c r="B12" s="56" t="s">
        <v>457</v>
      </c>
    </row>
    <row r="13" spans="1:16" x14ac:dyDescent="0.3">
      <c r="B13" s="56" t="s">
        <v>458</v>
      </c>
    </row>
    <row r="14" spans="1:16" x14ac:dyDescent="0.3">
      <c r="B14" s="56" t="s">
        <v>451</v>
      </c>
    </row>
    <row r="15" spans="1:16" x14ac:dyDescent="0.3">
      <c r="B15" s="56"/>
    </row>
    <row r="16" spans="1:16" x14ac:dyDescent="0.3">
      <c r="B16" s="56" t="s">
        <v>468</v>
      </c>
    </row>
    <row r="17" spans="2:16" x14ac:dyDescent="0.3">
      <c r="B17" s="56"/>
    </row>
    <row r="18" spans="2:16" x14ac:dyDescent="0.3">
      <c r="B18" s="56"/>
    </row>
    <row r="19" spans="2:16" x14ac:dyDescent="0.3">
      <c r="B19" s="56"/>
    </row>
    <row r="20" spans="2:16" x14ac:dyDescent="0.3">
      <c r="B20" s="56" t="s">
        <v>452</v>
      </c>
    </row>
    <row r="21" spans="2:16" x14ac:dyDescent="0.3">
      <c r="B21" s="342" t="s">
        <v>453</v>
      </c>
      <c r="C21" s="343"/>
      <c r="D21" s="343"/>
      <c r="E21" s="343"/>
      <c r="F21" s="343"/>
      <c r="G21" s="343"/>
      <c r="H21" s="343"/>
      <c r="I21" s="343"/>
      <c r="J21" s="343"/>
      <c r="K21" s="343"/>
      <c r="L21" s="343"/>
      <c r="M21" s="343"/>
      <c r="N21" s="343"/>
      <c r="O21" s="343"/>
      <c r="P21" s="343"/>
    </row>
    <row r="22" spans="2:16" ht="32.4" customHeight="1" x14ac:dyDescent="0.3">
      <c r="B22" s="342" t="s">
        <v>469</v>
      </c>
      <c r="C22" s="343"/>
      <c r="D22" s="343"/>
      <c r="E22" s="343"/>
      <c r="F22" s="343"/>
      <c r="G22" s="343"/>
      <c r="H22" s="343"/>
      <c r="I22" s="343"/>
      <c r="J22" s="343"/>
      <c r="K22" s="343"/>
      <c r="L22" s="343"/>
      <c r="M22" s="343"/>
      <c r="N22" s="343"/>
      <c r="O22" s="343"/>
      <c r="P22" s="343"/>
    </row>
    <row r="23" spans="2:16" x14ac:dyDescent="0.3">
      <c r="B23" s="56" t="s">
        <v>470</v>
      </c>
    </row>
    <row r="24" spans="2:16" x14ac:dyDescent="0.3">
      <c r="B24" s="56" t="s">
        <v>471</v>
      </c>
    </row>
    <row r="25" spans="2:16" x14ac:dyDescent="0.3">
      <c r="B25" s="56" t="s">
        <v>472</v>
      </c>
    </row>
    <row r="26" spans="2:16" x14ac:dyDescent="0.3">
      <c r="B26" s="56" t="s">
        <v>454</v>
      </c>
    </row>
    <row r="27" spans="2:16" x14ac:dyDescent="0.3">
      <c r="B27" s="56"/>
    </row>
    <row r="28" spans="2:16" x14ac:dyDescent="0.3">
      <c r="B28" s="56" t="s">
        <v>455</v>
      </c>
    </row>
    <row r="29" spans="2:16" x14ac:dyDescent="0.3">
      <c r="B29" s="56"/>
    </row>
    <row r="30" spans="2:16" x14ac:dyDescent="0.3">
      <c r="B30" s="56" t="s">
        <v>473</v>
      </c>
    </row>
  </sheetData>
  <mergeCells count="4">
    <mergeCell ref="B6:P6"/>
    <mergeCell ref="B10:P10"/>
    <mergeCell ref="B21:P21"/>
    <mergeCell ref="B22:P2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72"/>
  <sheetViews>
    <sheetView showGridLines="0" zoomScale="75" zoomScaleNormal="75" workbookViewId="0">
      <pane xSplit="2" ySplit="6" topLeftCell="C50" activePane="bottomRight" state="frozen"/>
      <selection pane="topRight" activeCell="C1" sqref="C1"/>
      <selection pane="bottomLeft" activeCell="A7" sqref="A7"/>
      <selection pane="bottomRight" activeCell="J72" sqref="J72"/>
    </sheetView>
  </sheetViews>
  <sheetFormatPr baseColWidth="10" defaultRowHeight="14.4" x14ac:dyDescent="0.3"/>
  <cols>
    <col min="1" max="1" width="29.33203125" customWidth="1"/>
    <col min="2" max="2" width="4.44140625" customWidth="1"/>
    <col min="3" max="3" width="11.109375" customWidth="1"/>
    <col min="4" max="4" width="38" bestFit="1" customWidth="1"/>
    <col min="5" max="5" width="11.5546875" customWidth="1"/>
    <col min="6" max="6" width="13.88671875" bestFit="1" customWidth="1"/>
    <col min="7" max="7" width="34" bestFit="1" customWidth="1"/>
    <col min="8" max="8" width="12" bestFit="1" customWidth="1"/>
    <col min="9" max="9" width="12" customWidth="1"/>
    <col min="10" max="10" width="38" bestFit="1" customWidth="1"/>
    <col min="11" max="11" width="13.33203125" customWidth="1"/>
    <col min="12" max="14" width="12" customWidth="1"/>
    <col min="15" max="16" width="17.44140625" style="105" bestFit="1" customWidth="1"/>
    <col min="17" max="17" width="32.109375" style="105" bestFit="1" customWidth="1"/>
    <col min="18" max="18" width="5" style="105" bestFit="1" customWidth="1"/>
    <col min="19" max="19" width="9" customWidth="1"/>
    <col min="20" max="68" width="4.44140625" customWidth="1"/>
  </cols>
  <sheetData>
    <row r="1" spans="1:19" ht="6.75" customHeight="1" x14ac:dyDescent="0.3"/>
    <row r="2" spans="1:19" ht="6.75" customHeight="1" x14ac:dyDescent="0.3"/>
    <row r="3" spans="1:19" x14ac:dyDescent="0.3">
      <c r="A3" s="13" t="s">
        <v>161</v>
      </c>
    </row>
    <row r="4" spans="1:19" x14ac:dyDescent="0.3">
      <c r="A4" s="13" t="s">
        <v>162</v>
      </c>
    </row>
    <row r="5" spans="1:19" x14ac:dyDescent="0.3">
      <c r="C5" s="344" t="s">
        <v>145</v>
      </c>
      <c r="D5" s="345"/>
      <c r="E5" s="344" t="s">
        <v>144</v>
      </c>
      <c r="F5" s="346"/>
      <c r="G5" s="346"/>
      <c r="H5" s="347"/>
      <c r="J5" s="137" t="s">
        <v>192</v>
      </c>
      <c r="K5" s="138"/>
      <c r="L5" s="139"/>
      <c r="M5" s="139"/>
      <c r="N5" s="139"/>
      <c r="O5" s="124" t="s">
        <v>145</v>
      </c>
      <c r="P5" s="125" t="s">
        <v>144</v>
      </c>
      <c r="Q5" s="125"/>
      <c r="R5" s="124"/>
    </row>
    <row r="6" spans="1:19" x14ac:dyDescent="0.3">
      <c r="B6" s="130" t="s">
        <v>143</v>
      </c>
      <c r="C6" s="129" t="s">
        <v>142</v>
      </c>
      <c r="D6" s="128" t="s">
        <v>141</v>
      </c>
      <c r="E6" s="127" t="s">
        <v>142</v>
      </c>
      <c r="F6" s="127" t="s">
        <v>141</v>
      </c>
      <c r="G6" s="80" t="s">
        <v>159</v>
      </c>
      <c r="H6" s="79" t="s">
        <v>193</v>
      </c>
      <c r="I6" s="154" t="s">
        <v>163</v>
      </c>
      <c r="J6" s="80"/>
      <c r="K6" s="80" t="s">
        <v>194</v>
      </c>
      <c r="L6" s="79" t="s">
        <v>160</v>
      </c>
      <c r="M6" s="79"/>
      <c r="N6" s="79"/>
      <c r="O6" s="112" t="s">
        <v>140</v>
      </c>
      <c r="P6" s="113" t="s">
        <v>140</v>
      </c>
      <c r="Q6" s="113" t="s">
        <v>139</v>
      </c>
      <c r="R6" s="112" t="s">
        <v>160</v>
      </c>
    </row>
    <row r="7" spans="1:19" x14ac:dyDescent="0.3">
      <c r="A7">
        <v>1</v>
      </c>
      <c r="B7" s="123">
        <v>26</v>
      </c>
      <c r="C7" s="89">
        <v>643</v>
      </c>
      <c r="D7" s="85">
        <f t="shared" ref="D7:D38" si="0">C7*12</f>
        <v>7716</v>
      </c>
      <c r="E7" s="89">
        <v>709</v>
      </c>
      <c r="F7" s="85">
        <f t="shared" ref="F7:F38" si="1">E7*12</f>
        <v>8508</v>
      </c>
      <c r="G7" s="85">
        <f>E7-C7</f>
        <v>66</v>
      </c>
      <c r="H7" s="116"/>
      <c r="I7" s="89">
        <v>822.51</v>
      </c>
      <c r="J7" s="85">
        <f>I7*12</f>
        <v>9870.119999999999</v>
      </c>
      <c r="K7" s="85"/>
      <c r="L7" s="116">
        <f>50*5</f>
        <v>250</v>
      </c>
      <c r="M7" s="116"/>
      <c r="N7" s="116"/>
      <c r="O7" s="122"/>
      <c r="P7" s="126"/>
      <c r="Q7" s="125"/>
      <c r="R7" s="124">
        <v>500</v>
      </c>
    </row>
    <row r="8" spans="1:19" x14ac:dyDescent="0.3">
      <c r="A8">
        <v>2</v>
      </c>
      <c r="B8" s="123">
        <v>27</v>
      </c>
      <c r="C8" s="89">
        <v>643</v>
      </c>
      <c r="D8" s="85">
        <f t="shared" si="0"/>
        <v>7716</v>
      </c>
      <c r="E8" s="89">
        <v>709</v>
      </c>
      <c r="F8" s="85">
        <f t="shared" si="1"/>
        <v>8508</v>
      </c>
      <c r="G8" s="85"/>
      <c r="H8" s="116"/>
      <c r="I8" s="89">
        <v>822.51</v>
      </c>
      <c r="J8" s="85">
        <f t="shared" ref="J8:J14" si="2">I8*12</f>
        <v>9870.119999999999</v>
      </c>
      <c r="K8" s="85"/>
      <c r="L8" s="116">
        <f>L7*1.03</f>
        <v>257.5</v>
      </c>
      <c r="M8" s="116"/>
      <c r="N8" s="116"/>
      <c r="O8" s="122">
        <f>C8*1.025</f>
        <v>659.07499999999993</v>
      </c>
      <c r="P8" s="121">
        <f>E7*1.025</f>
        <v>726.72499999999991</v>
      </c>
      <c r="Q8" s="120"/>
      <c r="R8" s="119">
        <f>R7*1.025</f>
        <v>512.5</v>
      </c>
    </row>
    <row r="9" spans="1:19" x14ac:dyDescent="0.3">
      <c r="A9">
        <v>3</v>
      </c>
      <c r="B9" s="123">
        <v>28</v>
      </c>
      <c r="C9" s="89">
        <v>643</v>
      </c>
      <c r="D9" s="85">
        <f t="shared" si="0"/>
        <v>7716</v>
      </c>
      <c r="E9" s="89">
        <v>709</v>
      </c>
      <c r="F9" s="85">
        <f t="shared" si="1"/>
        <v>8508</v>
      </c>
      <c r="G9" s="85"/>
      <c r="H9" s="116"/>
      <c r="I9" s="89">
        <v>822.51</v>
      </c>
      <c r="J9" s="85">
        <f t="shared" si="2"/>
        <v>9870.119999999999</v>
      </c>
      <c r="K9" s="85"/>
      <c r="L9" s="116">
        <f t="shared" ref="L9:L66" si="3">L8*1.03</f>
        <v>265.22500000000002</v>
      </c>
      <c r="M9" s="116"/>
      <c r="N9" s="116"/>
      <c r="O9" s="122">
        <f t="shared" ref="O9:O40" si="4">O8*1.025</f>
        <v>675.55187499999988</v>
      </c>
      <c r="P9" s="121">
        <f t="shared" ref="P9:P40" si="5">P8*1.025</f>
        <v>744.89312499999983</v>
      </c>
      <c r="Q9" s="120"/>
      <c r="R9" s="119">
        <f t="shared" ref="R9:R67" si="6">R8*1.025</f>
        <v>525.3125</v>
      </c>
    </row>
    <row r="10" spans="1:19" x14ac:dyDescent="0.3">
      <c r="A10">
        <v>4</v>
      </c>
      <c r="B10" s="123">
        <v>29</v>
      </c>
      <c r="C10" s="89">
        <v>643</v>
      </c>
      <c r="D10" s="85">
        <f t="shared" si="0"/>
        <v>7716</v>
      </c>
      <c r="E10" s="89">
        <v>709</v>
      </c>
      <c r="F10" s="85">
        <f t="shared" si="1"/>
        <v>8508</v>
      </c>
      <c r="G10" s="85"/>
      <c r="H10" s="116"/>
      <c r="I10" s="89">
        <v>822.51</v>
      </c>
      <c r="J10" s="85">
        <f t="shared" si="2"/>
        <v>9870.119999999999</v>
      </c>
      <c r="K10" s="85">
        <f>45*34500/100</f>
        <v>15525</v>
      </c>
      <c r="L10" s="116">
        <f t="shared" si="3"/>
        <v>273.18175000000002</v>
      </c>
      <c r="M10" s="116">
        <f>K10</f>
        <v>15525</v>
      </c>
      <c r="N10" s="116"/>
      <c r="O10" s="122">
        <f t="shared" si="4"/>
        <v>692.44067187499979</v>
      </c>
      <c r="P10" s="121">
        <f t="shared" si="5"/>
        <v>763.51545312499979</v>
      </c>
      <c r="Q10" s="120"/>
      <c r="R10" s="119">
        <f t="shared" si="6"/>
        <v>538.4453125</v>
      </c>
      <c r="S10" s="76"/>
    </row>
    <row r="11" spans="1:19" x14ac:dyDescent="0.3">
      <c r="A11">
        <v>5</v>
      </c>
      <c r="B11" s="123">
        <v>30</v>
      </c>
      <c r="C11" s="89">
        <v>710</v>
      </c>
      <c r="D11" s="85">
        <f t="shared" si="0"/>
        <v>8520</v>
      </c>
      <c r="E11" s="89">
        <v>709</v>
      </c>
      <c r="F11" s="85">
        <f t="shared" si="1"/>
        <v>8508</v>
      </c>
      <c r="G11" s="85"/>
      <c r="H11" s="116"/>
      <c r="I11" s="89">
        <v>717.5</v>
      </c>
      <c r="J11" s="85">
        <f t="shared" si="2"/>
        <v>8610</v>
      </c>
      <c r="K11" s="85"/>
      <c r="L11" s="116">
        <f t="shared" si="3"/>
        <v>281.37720250000001</v>
      </c>
      <c r="M11" s="116">
        <f>M10*1.03</f>
        <v>15990.75</v>
      </c>
      <c r="N11" s="116">
        <f>I11</f>
        <v>717.5</v>
      </c>
      <c r="O11" s="122">
        <f t="shared" si="4"/>
        <v>709.75168867187472</v>
      </c>
      <c r="P11" s="121">
        <f t="shared" si="5"/>
        <v>782.6033394531247</v>
      </c>
      <c r="Q11" s="120"/>
      <c r="R11" s="119">
        <f t="shared" si="6"/>
        <v>551.90644531249995</v>
      </c>
      <c r="S11" s="76"/>
    </row>
    <row r="12" spans="1:19" x14ac:dyDescent="0.3">
      <c r="A12">
        <v>6</v>
      </c>
      <c r="B12" s="123">
        <v>31</v>
      </c>
      <c r="C12" s="89">
        <v>710</v>
      </c>
      <c r="D12" s="85">
        <f t="shared" si="0"/>
        <v>8520</v>
      </c>
      <c r="E12" s="89"/>
      <c r="F12" s="85">
        <f t="shared" si="1"/>
        <v>0</v>
      </c>
      <c r="G12" s="85"/>
      <c r="H12" s="116"/>
      <c r="I12" s="89">
        <v>717.5</v>
      </c>
      <c r="J12" s="85">
        <f t="shared" si="2"/>
        <v>8610</v>
      </c>
      <c r="K12" s="85"/>
      <c r="L12" s="116">
        <f t="shared" si="3"/>
        <v>289.81851857500004</v>
      </c>
      <c r="M12" s="116">
        <f t="shared" ref="M12:M66" si="7">M11*1.03</f>
        <v>16470.4725</v>
      </c>
      <c r="N12" s="116">
        <f>N11*1.03</f>
        <v>739.02499999999998</v>
      </c>
      <c r="O12" s="122">
        <f t="shared" si="4"/>
        <v>727.49548088867152</v>
      </c>
      <c r="P12" s="121">
        <f t="shared" si="5"/>
        <v>802.16842293945274</v>
      </c>
      <c r="Q12" s="120"/>
      <c r="R12" s="119">
        <f t="shared" si="6"/>
        <v>565.70410644531239</v>
      </c>
    </row>
    <row r="13" spans="1:19" x14ac:dyDescent="0.3">
      <c r="A13">
        <v>7</v>
      </c>
      <c r="B13" s="123">
        <v>32</v>
      </c>
      <c r="C13" s="89">
        <v>710</v>
      </c>
      <c r="D13" s="85">
        <f t="shared" si="0"/>
        <v>8520</v>
      </c>
      <c r="E13" s="89"/>
      <c r="F13" s="85">
        <f t="shared" si="1"/>
        <v>0</v>
      </c>
      <c r="G13" s="85"/>
      <c r="H13" s="116"/>
      <c r="I13" s="89">
        <v>717.5</v>
      </c>
      <c r="J13" s="85">
        <f t="shared" si="2"/>
        <v>8610</v>
      </c>
      <c r="K13" s="85"/>
      <c r="L13" s="116">
        <f t="shared" si="3"/>
        <v>298.51307413225004</v>
      </c>
      <c r="M13" s="116">
        <f t="shared" si="7"/>
        <v>16964.586674999999</v>
      </c>
      <c r="N13" s="116">
        <f t="shared" ref="N13:N66" si="8">N12*1.03</f>
        <v>761.19574999999998</v>
      </c>
      <c r="O13" s="122">
        <f t="shared" si="4"/>
        <v>745.68286791088826</v>
      </c>
      <c r="P13" s="121">
        <f t="shared" si="5"/>
        <v>822.22263351293896</v>
      </c>
      <c r="Q13" s="120"/>
      <c r="R13" s="119">
        <f t="shared" si="6"/>
        <v>579.84670910644513</v>
      </c>
    </row>
    <row r="14" spans="1:19" x14ac:dyDescent="0.3">
      <c r="A14">
        <v>8</v>
      </c>
      <c r="B14" s="123">
        <v>33</v>
      </c>
      <c r="C14" s="89">
        <v>710</v>
      </c>
      <c r="D14" s="85">
        <f t="shared" si="0"/>
        <v>8520</v>
      </c>
      <c r="E14" s="89"/>
      <c r="F14" s="85">
        <f t="shared" si="1"/>
        <v>0</v>
      </c>
      <c r="G14" s="85"/>
      <c r="H14" s="116"/>
      <c r="I14" s="89">
        <v>717.5</v>
      </c>
      <c r="J14" s="85">
        <f t="shared" si="2"/>
        <v>8610</v>
      </c>
      <c r="K14" s="85">
        <f>M14</f>
        <v>17473.524275249998</v>
      </c>
      <c r="L14" s="116">
        <f t="shared" si="3"/>
        <v>307.46846635621756</v>
      </c>
      <c r="M14" s="116">
        <f t="shared" si="7"/>
        <v>17473.524275249998</v>
      </c>
      <c r="N14" s="116">
        <f t="shared" si="8"/>
        <v>784.03162250000003</v>
      </c>
      <c r="O14" s="122">
        <f t="shared" si="4"/>
        <v>764.32493960866043</v>
      </c>
      <c r="P14" s="121">
        <f t="shared" si="5"/>
        <v>842.77819935076241</v>
      </c>
      <c r="Q14" s="120"/>
      <c r="R14" s="119">
        <f t="shared" si="6"/>
        <v>594.34287683410616</v>
      </c>
    </row>
    <row r="15" spans="1:19" x14ac:dyDescent="0.3">
      <c r="A15">
        <v>9</v>
      </c>
      <c r="B15" s="123">
        <v>34</v>
      </c>
      <c r="C15" s="89">
        <v>783</v>
      </c>
      <c r="D15" s="85">
        <f t="shared" si="0"/>
        <v>9396</v>
      </c>
      <c r="E15" s="89"/>
      <c r="F15" s="85">
        <f t="shared" si="1"/>
        <v>0</v>
      </c>
      <c r="G15" s="85"/>
      <c r="H15" s="116"/>
      <c r="I15" s="89">
        <f>N15</f>
        <v>807.55257117500003</v>
      </c>
      <c r="J15" s="85">
        <f>I15*12</f>
        <v>9690.6308540999999</v>
      </c>
      <c r="K15" s="85"/>
      <c r="L15" s="116">
        <f t="shared" si="3"/>
        <v>316.69252034690408</v>
      </c>
      <c r="M15" s="116">
        <f t="shared" si="7"/>
        <v>17997.730003507499</v>
      </c>
      <c r="N15" s="116">
        <f t="shared" si="8"/>
        <v>807.55257117500003</v>
      </c>
      <c r="O15" s="122">
        <f t="shared" si="4"/>
        <v>783.43306309887691</v>
      </c>
      <c r="P15" s="121">
        <f t="shared" si="5"/>
        <v>863.8476543345314</v>
      </c>
      <c r="Q15" s="120"/>
      <c r="R15" s="119">
        <f t="shared" si="6"/>
        <v>609.20144875495873</v>
      </c>
    </row>
    <row r="16" spans="1:19" x14ac:dyDescent="0.3">
      <c r="A16">
        <v>10</v>
      </c>
      <c r="B16" s="123">
        <v>35</v>
      </c>
      <c r="C16" s="89">
        <v>783</v>
      </c>
      <c r="D16" s="85">
        <f t="shared" si="0"/>
        <v>9396</v>
      </c>
      <c r="E16" s="89"/>
      <c r="F16" s="85">
        <f t="shared" si="1"/>
        <v>0</v>
      </c>
      <c r="G16" s="85"/>
      <c r="H16" s="116"/>
      <c r="I16" s="89">
        <f>I15</f>
        <v>807.55257117500003</v>
      </c>
      <c r="J16" s="85">
        <f t="shared" ref="J16:J66" si="9">I16*12</f>
        <v>9690.6308540999999</v>
      </c>
      <c r="K16" s="85"/>
      <c r="L16" s="116">
        <f t="shared" si="3"/>
        <v>326.19329595731119</v>
      </c>
      <c r="M16" s="116">
        <f t="shared" si="7"/>
        <v>18537.661903612723</v>
      </c>
      <c r="N16" s="116">
        <f t="shared" si="8"/>
        <v>831.77914831025009</v>
      </c>
      <c r="O16" s="122">
        <f t="shared" si="4"/>
        <v>803.01888967634875</v>
      </c>
      <c r="P16" s="121">
        <f t="shared" si="5"/>
        <v>885.44384569289457</v>
      </c>
      <c r="Q16" s="120"/>
      <c r="R16" s="119">
        <f t="shared" si="6"/>
        <v>624.43148497383265</v>
      </c>
    </row>
    <row r="17" spans="1:18" x14ac:dyDescent="0.3">
      <c r="A17">
        <v>11</v>
      </c>
      <c r="B17" s="123">
        <v>36</v>
      </c>
      <c r="C17" s="89">
        <v>783</v>
      </c>
      <c r="D17" s="85">
        <f t="shared" si="0"/>
        <v>9396</v>
      </c>
      <c r="E17" s="89">
        <v>907</v>
      </c>
      <c r="F17" s="85">
        <f t="shared" si="1"/>
        <v>10884</v>
      </c>
      <c r="G17" s="85">
        <f>1000</f>
        <v>1000</v>
      </c>
      <c r="H17" s="116"/>
      <c r="I17" s="89">
        <f>I16</f>
        <v>807.55257117500003</v>
      </c>
      <c r="J17" s="85">
        <f t="shared" si="9"/>
        <v>9690.6308540999999</v>
      </c>
      <c r="K17" s="85"/>
      <c r="L17" s="116">
        <f t="shared" si="3"/>
        <v>335.97909483603053</v>
      </c>
      <c r="M17" s="116">
        <f t="shared" si="7"/>
        <v>19093.791760721106</v>
      </c>
      <c r="N17" s="116">
        <f t="shared" si="8"/>
        <v>856.73252275955758</v>
      </c>
      <c r="O17" s="122">
        <f t="shared" si="4"/>
        <v>823.09436191825739</v>
      </c>
      <c r="P17" s="121">
        <f t="shared" si="5"/>
        <v>907.5799418352168</v>
      </c>
      <c r="Q17" s="120">
        <f>G17*1.025</f>
        <v>1025</v>
      </c>
      <c r="R17" s="119">
        <f t="shared" si="6"/>
        <v>640.04227209817839</v>
      </c>
    </row>
    <row r="18" spans="1:18" x14ac:dyDescent="0.3">
      <c r="A18">
        <v>12</v>
      </c>
      <c r="B18" s="123">
        <v>37</v>
      </c>
      <c r="C18" s="89">
        <v>783</v>
      </c>
      <c r="D18" s="85">
        <f t="shared" si="0"/>
        <v>9396</v>
      </c>
      <c r="E18" s="89">
        <v>907</v>
      </c>
      <c r="F18" s="85">
        <f t="shared" si="1"/>
        <v>10884</v>
      </c>
      <c r="G18" s="85"/>
      <c r="H18" s="116"/>
      <c r="I18" s="89">
        <f>I17</f>
        <v>807.55257117500003</v>
      </c>
      <c r="J18" s="85">
        <f t="shared" si="9"/>
        <v>9690.6308540999999</v>
      </c>
      <c r="K18" s="85"/>
      <c r="L18" s="116">
        <f t="shared" si="3"/>
        <v>346.05846768111144</v>
      </c>
      <c r="M18" s="116">
        <f t="shared" si="7"/>
        <v>19666.605513542738</v>
      </c>
      <c r="N18" s="116">
        <f t="shared" si="8"/>
        <v>882.43449844234431</v>
      </c>
      <c r="O18" s="122">
        <f t="shared" si="4"/>
        <v>843.6717209662138</v>
      </c>
      <c r="P18" s="121">
        <f t="shared" si="5"/>
        <v>930.26944038109718</v>
      </c>
      <c r="Q18" s="120">
        <f t="shared" ref="Q18:Q49" si="10">Q17*1.025</f>
        <v>1050.625</v>
      </c>
      <c r="R18" s="119">
        <f t="shared" si="6"/>
        <v>656.04332890063279</v>
      </c>
    </row>
    <row r="19" spans="1:18" x14ac:dyDescent="0.3">
      <c r="A19">
        <v>13</v>
      </c>
      <c r="B19" s="123">
        <v>38</v>
      </c>
      <c r="C19" s="89">
        <v>864</v>
      </c>
      <c r="D19" s="85">
        <f t="shared" si="0"/>
        <v>10368</v>
      </c>
      <c r="E19" s="89">
        <v>907</v>
      </c>
      <c r="F19" s="85">
        <f t="shared" si="1"/>
        <v>10884</v>
      </c>
      <c r="G19" s="85"/>
      <c r="H19" s="116"/>
      <c r="I19" s="89">
        <f t="shared" ref="I19" si="11">N19</f>
        <v>908.90753339561468</v>
      </c>
      <c r="J19" s="85">
        <f t="shared" si="9"/>
        <v>10906.890400747376</v>
      </c>
      <c r="K19" s="85">
        <f t="shared" ref="K19" si="12">M19</f>
        <v>20256.603678949021</v>
      </c>
      <c r="L19" s="116">
        <f t="shared" si="3"/>
        <v>356.44022171154478</v>
      </c>
      <c r="M19" s="116">
        <f t="shared" si="7"/>
        <v>20256.603678949021</v>
      </c>
      <c r="N19" s="116">
        <f t="shared" si="8"/>
        <v>908.90753339561468</v>
      </c>
      <c r="O19" s="122">
        <f t="shared" si="4"/>
        <v>864.76351399036912</v>
      </c>
      <c r="P19" s="121">
        <f t="shared" si="5"/>
        <v>953.52617639062453</v>
      </c>
      <c r="Q19" s="120">
        <f t="shared" si="10"/>
        <v>1076.890625</v>
      </c>
      <c r="R19" s="119">
        <f t="shared" si="6"/>
        <v>672.4444121231486</v>
      </c>
    </row>
    <row r="20" spans="1:18" x14ac:dyDescent="0.3">
      <c r="A20">
        <v>14</v>
      </c>
      <c r="B20" s="123">
        <v>39</v>
      </c>
      <c r="C20" s="89">
        <v>864</v>
      </c>
      <c r="D20" s="85">
        <f t="shared" si="0"/>
        <v>10368</v>
      </c>
      <c r="E20" s="89">
        <v>907</v>
      </c>
      <c r="F20" s="85">
        <f t="shared" si="1"/>
        <v>10884</v>
      </c>
      <c r="G20" s="85"/>
      <c r="H20" s="116"/>
      <c r="I20" s="89">
        <f t="shared" ref="I20:I22" si="13">I19</f>
        <v>908.90753339561468</v>
      </c>
      <c r="J20" s="85">
        <f t="shared" si="9"/>
        <v>10906.890400747376</v>
      </c>
      <c r="K20" s="85"/>
      <c r="L20" s="116">
        <f t="shared" si="3"/>
        <v>367.13342836289115</v>
      </c>
      <c r="M20" s="116">
        <f t="shared" si="7"/>
        <v>20864.301789317491</v>
      </c>
      <c r="N20" s="116">
        <f t="shared" si="8"/>
        <v>936.17475939748317</v>
      </c>
      <c r="O20" s="122">
        <f t="shared" si="4"/>
        <v>886.38260184012825</v>
      </c>
      <c r="P20" s="121">
        <f t="shared" si="5"/>
        <v>977.36433080039001</v>
      </c>
      <c r="Q20" s="120">
        <f t="shared" si="10"/>
        <v>1103.8128906249999</v>
      </c>
      <c r="R20" s="119">
        <f t="shared" si="6"/>
        <v>689.25552242622723</v>
      </c>
    </row>
    <row r="21" spans="1:18" x14ac:dyDescent="0.3">
      <c r="A21">
        <v>15</v>
      </c>
      <c r="B21" s="123">
        <v>40</v>
      </c>
      <c r="C21" s="89">
        <v>864</v>
      </c>
      <c r="D21" s="85">
        <f t="shared" si="0"/>
        <v>10368</v>
      </c>
      <c r="E21" s="89">
        <v>907</v>
      </c>
      <c r="F21" s="85">
        <f t="shared" si="1"/>
        <v>10884</v>
      </c>
      <c r="G21" s="85"/>
      <c r="H21" s="116"/>
      <c r="I21" s="89">
        <f t="shared" si="13"/>
        <v>908.90753339561468</v>
      </c>
      <c r="J21" s="85">
        <f t="shared" si="9"/>
        <v>10906.890400747376</v>
      </c>
      <c r="K21" s="85"/>
      <c r="L21" s="116">
        <f t="shared" si="3"/>
        <v>378.14743121377791</v>
      </c>
      <c r="M21" s="116">
        <f t="shared" si="7"/>
        <v>21490.230842997018</v>
      </c>
      <c r="N21" s="116">
        <f t="shared" si="8"/>
        <v>964.26000217940771</v>
      </c>
      <c r="O21" s="122">
        <f t="shared" si="4"/>
        <v>908.54216688613133</v>
      </c>
      <c r="P21" s="121">
        <f t="shared" si="5"/>
        <v>1001.7984390703997</v>
      </c>
      <c r="Q21" s="120">
        <f t="shared" si="10"/>
        <v>1131.4082128906248</v>
      </c>
      <c r="R21" s="119">
        <f t="shared" si="6"/>
        <v>706.48691048688283</v>
      </c>
    </row>
    <row r="22" spans="1:18" x14ac:dyDescent="0.3">
      <c r="A22">
        <v>16</v>
      </c>
      <c r="B22" s="123">
        <v>41</v>
      </c>
      <c r="C22" s="89">
        <v>864</v>
      </c>
      <c r="D22" s="85">
        <f t="shared" si="0"/>
        <v>10368</v>
      </c>
      <c r="E22" s="89"/>
      <c r="F22" s="85">
        <f t="shared" si="1"/>
        <v>0</v>
      </c>
      <c r="G22" s="85"/>
      <c r="H22" s="116"/>
      <c r="I22" s="89">
        <f t="shared" si="13"/>
        <v>908.90753339561468</v>
      </c>
      <c r="J22" s="85">
        <f t="shared" si="9"/>
        <v>10906.890400747376</v>
      </c>
      <c r="K22" s="85"/>
      <c r="L22" s="116">
        <f t="shared" si="3"/>
        <v>389.49185415019127</v>
      </c>
      <c r="M22" s="116">
        <f t="shared" si="7"/>
        <v>22134.937768286931</v>
      </c>
      <c r="N22" s="116">
        <f t="shared" si="8"/>
        <v>993.18780224478996</v>
      </c>
      <c r="O22" s="122">
        <f t="shared" si="4"/>
        <v>931.25572105828451</v>
      </c>
      <c r="P22" s="121">
        <f t="shared" si="5"/>
        <v>1026.8434000471595</v>
      </c>
      <c r="Q22" s="120">
        <f t="shared" si="10"/>
        <v>1159.6934182128903</v>
      </c>
      <c r="R22" s="119">
        <f t="shared" si="6"/>
        <v>724.1490832490548</v>
      </c>
    </row>
    <row r="23" spans="1:18" x14ac:dyDescent="0.3">
      <c r="A23">
        <v>17</v>
      </c>
      <c r="B23" s="123">
        <v>42</v>
      </c>
      <c r="C23" s="89">
        <v>954</v>
      </c>
      <c r="D23" s="85">
        <f t="shared" si="0"/>
        <v>11448</v>
      </c>
      <c r="E23" s="89"/>
      <c r="F23" s="85">
        <f t="shared" si="1"/>
        <v>0</v>
      </c>
      <c r="G23" s="85"/>
      <c r="H23" s="116"/>
      <c r="I23" s="89">
        <f t="shared" ref="I23" si="14">N23</f>
        <v>1022.9834363121337</v>
      </c>
      <c r="J23" s="85">
        <f t="shared" si="9"/>
        <v>12275.801235745605</v>
      </c>
      <c r="K23" s="85"/>
      <c r="L23" s="116">
        <f t="shared" si="3"/>
        <v>401.176609774697</v>
      </c>
      <c r="M23" s="116">
        <f t="shared" si="7"/>
        <v>22798.985901335538</v>
      </c>
      <c r="N23" s="116">
        <f t="shared" si="8"/>
        <v>1022.9834363121337</v>
      </c>
      <c r="O23" s="122">
        <f t="shared" si="4"/>
        <v>954.53711408474157</v>
      </c>
      <c r="P23" s="121">
        <f t="shared" si="5"/>
        <v>1052.5144850483384</v>
      </c>
      <c r="Q23" s="120">
        <f t="shared" si="10"/>
        <v>1188.6857536682123</v>
      </c>
      <c r="R23" s="119">
        <f t="shared" si="6"/>
        <v>742.25281033028114</v>
      </c>
    </row>
    <row r="24" spans="1:18" x14ac:dyDescent="0.3">
      <c r="A24">
        <v>18</v>
      </c>
      <c r="B24" s="123">
        <v>43</v>
      </c>
      <c r="C24" s="89">
        <v>954</v>
      </c>
      <c r="D24" s="85">
        <f t="shared" si="0"/>
        <v>11448</v>
      </c>
      <c r="E24" s="89"/>
      <c r="F24" s="85">
        <f t="shared" si="1"/>
        <v>0</v>
      </c>
      <c r="G24" s="85"/>
      <c r="H24" s="116"/>
      <c r="I24" s="89">
        <f t="shared" ref="I24:I26" si="15">I23</f>
        <v>1022.9834363121337</v>
      </c>
      <c r="J24" s="85">
        <f t="shared" si="9"/>
        <v>12275.801235745605</v>
      </c>
      <c r="K24" s="85">
        <f t="shared" ref="K24" si="16">M24</f>
        <v>23482.955478375607</v>
      </c>
      <c r="L24" s="116">
        <f t="shared" si="3"/>
        <v>413.21190806793794</v>
      </c>
      <c r="M24" s="116">
        <f t="shared" si="7"/>
        <v>23482.955478375607</v>
      </c>
      <c r="N24" s="116">
        <f t="shared" si="8"/>
        <v>1053.6729394014976</v>
      </c>
      <c r="O24" s="122">
        <f t="shared" si="4"/>
        <v>978.40054193686001</v>
      </c>
      <c r="P24" s="121">
        <f t="shared" si="5"/>
        <v>1078.8273471745467</v>
      </c>
      <c r="Q24" s="120">
        <f t="shared" si="10"/>
        <v>1218.4028975099175</v>
      </c>
      <c r="R24" s="119">
        <f t="shared" si="6"/>
        <v>760.8091305885381</v>
      </c>
    </row>
    <row r="25" spans="1:18" x14ac:dyDescent="0.3">
      <c r="A25">
        <v>19</v>
      </c>
      <c r="B25" s="123">
        <v>44</v>
      </c>
      <c r="C25" s="89">
        <v>954</v>
      </c>
      <c r="D25" s="85">
        <f t="shared" si="0"/>
        <v>11448</v>
      </c>
      <c r="E25" s="89"/>
      <c r="F25" s="85">
        <f t="shared" si="1"/>
        <v>0</v>
      </c>
      <c r="G25" s="85"/>
      <c r="H25" s="116"/>
      <c r="I25" s="89">
        <f t="shared" si="15"/>
        <v>1022.9834363121337</v>
      </c>
      <c r="J25" s="85">
        <f t="shared" si="9"/>
        <v>12275.801235745605</v>
      </c>
      <c r="K25" s="85"/>
      <c r="L25" s="116">
        <f t="shared" si="3"/>
        <v>425.6082653099761</v>
      </c>
      <c r="M25" s="116">
        <f t="shared" si="7"/>
        <v>24187.444142726876</v>
      </c>
      <c r="N25" s="116">
        <f t="shared" si="8"/>
        <v>1085.2831275835426</v>
      </c>
      <c r="O25" s="122">
        <f t="shared" si="4"/>
        <v>1002.8605554852815</v>
      </c>
      <c r="P25" s="121">
        <f t="shared" si="5"/>
        <v>1105.7980308539104</v>
      </c>
      <c r="Q25" s="120">
        <f t="shared" si="10"/>
        <v>1248.8629699476653</v>
      </c>
      <c r="R25" s="119">
        <f t="shared" si="6"/>
        <v>779.82935885325151</v>
      </c>
    </row>
    <row r="26" spans="1:18" x14ac:dyDescent="0.3">
      <c r="A26">
        <v>20</v>
      </c>
      <c r="B26" s="123">
        <v>45</v>
      </c>
      <c r="C26" s="89">
        <v>954</v>
      </c>
      <c r="D26" s="85">
        <f t="shared" si="0"/>
        <v>11448</v>
      </c>
      <c r="E26" s="89"/>
      <c r="F26" s="85">
        <f t="shared" si="1"/>
        <v>0</v>
      </c>
      <c r="G26" s="85"/>
      <c r="H26" s="116"/>
      <c r="I26" s="89">
        <f t="shared" si="15"/>
        <v>1022.9834363121337</v>
      </c>
      <c r="J26" s="85">
        <f t="shared" si="9"/>
        <v>12275.801235745605</v>
      </c>
      <c r="K26" s="85"/>
      <c r="L26" s="116">
        <f t="shared" si="3"/>
        <v>438.37651326927539</v>
      </c>
      <c r="M26" s="116">
        <f t="shared" si="7"/>
        <v>24913.067467008681</v>
      </c>
      <c r="N26" s="116">
        <f t="shared" si="8"/>
        <v>1117.8416214110489</v>
      </c>
      <c r="O26" s="122">
        <f t="shared" si="4"/>
        <v>1027.9320693724135</v>
      </c>
      <c r="P26" s="121">
        <f t="shared" si="5"/>
        <v>1133.442981625258</v>
      </c>
      <c r="Q26" s="120">
        <f t="shared" si="10"/>
        <v>1280.0845441963568</v>
      </c>
      <c r="R26" s="119">
        <f t="shared" si="6"/>
        <v>799.32509282458273</v>
      </c>
    </row>
    <row r="27" spans="1:18" x14ac:dyDescent="0.3">
      <c r="A27">
        <v>21</v>
      </c>
      <c r="B27" s="123">
        <v>46</v>
      </c>
      <c r="C27" s="89">
        <v>1053</v>
      </c>
      <c r="D27" s="85">
        <f t="shared" si="0"/>
        <v>12636</v>
      </c>
      <c r="E27" s="89">
        <v>1161</v>
      </c>
      <c r="F27" s="85">
        <f t="shared" si="1"/>
        <v>13932</v>
      </c>
      <c r="G27" s="85">
        <v>1312</v>
      </c>
      <c r="H27" s="116"/>
      <c r="I27" s="89">
        <f t="shared" ref="I27" si="17">N27</f>
        <v>1151.3768700533803</v>
      </c>
      <c r="J27" s="85">
        <f t="shared" si="9"/>
        <v>13816.522440640565</v>
      </c>
      <c r="K27" s="85"/>
      <c r="L27" s="116">
        <f t="shared" si="3"/>
        <v>451.52780866735367</v>
      </c>
      <c r="M27" s="116">
        <f t="shared" si="7"/>
        <v>25660.459491018941</v>
      </c>
      <c r="N27" s="116">
        <f t="shared" si="8"/>
        <v>1151.3768700533803</v>
      </c>
      <c r="O27" s="122">
        <f t="shared" si="4"/>
        <v>1053.6303711067237</v>
      </c>
      <c r="P27" s="121">
        <f t="shared" si="5"/>
        <v>1161.7790561658894</v>
      </c>
      <c r="Q27" s="120">
        <f t="shared" si="10"/>
        <v>1312.0866578012656</v>
      </c>
      <c r="R27" s="119">
        <f t="shared" si="6"/>
        <v>819.3082201451972</v>
      </c>
    </row>
    <row r="28" spans="1:18" x14ac:dyDescent="0.3">
      <c r="A28">
        <v>22</v>
      </c>
      <c r="B28" s="123">
        <v>47</v>
      </c>
      <c r="C28" s="89">
        <v>1053</v>
      </c>
      <c r="D28" s="85">
        <f t="shared" si="0"/>
        <v>12636</v>
      </c>
      <c r="E28" s="89">
        <v>1161</v>
      </c>
      <c r="F28" s="85">
        <f t="shared" si="1"/>
        <v>13932</v>
      </c>
      <c r="G28" s="85"/>
      <c r="H28" s="116"/>
      <c r="I28" s="89">
        <f t="shared" ref="I28:I30" si="18">I27</f>
        <v>1151.3768700533803</v>
      </c>
      <c r="J28" s="85">
        <f t="shared" si="9"/>
        <v>13816.522440640565</v>
      </c>
      <c r="K28" s="85"/>
      <c r="L28" s="116">
        <f t="shared" si="3"/>
        <v>465.07364292737429</v>
      </c>
      <c r="M28" s="116">
        <f t="shared" si="7"/>
        <v>26430.273275749511</v>
      </c>
      <c r="N28" s="116">
        <f t="shared" si="8"/>
        <v>1185.9181761549819</v>
      </c>
      <c r="O28" s="122">
        <f t="shared" si="4"/>
        <v>1079.9711303843917</v>
      </c>
      <c r="P28" s="121">
        <f t="shared" si="5"/>
        <v>1190.8235325700366</v>
      </c>
      <c r="Q28" s="120">
        <f t="shared" si="10"/>
        <v>1344.8888242462972</v>
      </c>
      <c r="R28" s="119">
        <f t="shared" si="6"/>
        <v>839.79092564882706</v>
      </c>
    </row>
    <row r="29" spans="1:18" x14ac:dyDescent="0.3">
      <c r="A29">
        <v>23</v>
      </c>
      <c r="B29" s="123">
        <v>48</v>
      </c>
      <c r="C29" s="89">
        <v>1053</v>
      </c>
      <c r="D29" s="85">
        <f t="shared" si="0"/>
        <v>12636</v>
      </c>
      <c r="E29" s="89">
        <v>1161</v>
      </c>
      <c r="F29" s="85">
        <f t="shared" si="1"/>
        <v>13932</v>
      </c>
      <c r="G29" s="85"/>
      <c r="H29" s="116"/>
      <c r="I29" s="89">
        <f t="shared" si="18"/>
        <v>1151.3768700533803</v>
      </c>
      <c r="J29" s="85">
        <f t="shared" si="9"/>
        <v>13816.522440640565</v>
      </c>
      <c r="K29" s="85">
        <f t="shared" ref="K29" si="19">M29</f>
        <v>27223.181474021996</v>
      </c>
      <c r="L29" s="116">
        <f t="shared" si="3"/>
        <v>479.02585221519553</v>
      </c>
      <c r="M29" s="116">
        <f t="shared" si="7"/>
        <v>27223.181474021996</v>
      </c>
      <c r="N29" s="116">
        <f t="shared" si="8"/>
        <v>1221.4957214396313</v>
      </c>
      <c r="O29" s="122">
        <f t="shared" si="4"/>
        <v>1106.9704086440015</v>
      </c>
      <c r="P29" s="121">
        <f t="shared" si="5"/>
        <v>1220.5941208842873</v>
      </c>
      <c r="Q29" s="120">
        <f t="shared" si="10"/>
        <v>1378.5110448524545</v>
      </c>
      <c r="R29" s="119">
        <f t="shared" si="6"/>
        <v>860.7856987900476</v>
      </c>
    </row>
    <row r="30" spans="1:18" x14ac:dyDescent="0.3">
      <c r="A30">
        <v>24</v>
      </c>
      <c r="B30" s="123">
        <v>49</v>
      </c>
      <c r="C30" s="89">
        <v>1053</v>
      </c>
      <c r="D30" s="85">
        <f t="shared" si="0"/>
        <v>12636</v>
      </c>
      <c r="E30" s="89">
        <v>1161</v>
      </c>
      <c r="F30" s="85">
        <f t="shared" si="1"/>
        <v>13932</v>
      </c>
      <c r="G30" s="85"/>
      <c r="H30" s="116"/>
      <c r="I30" s="89">
        <f t="shared" si="18"/>
        <v>1151.3768700533803</v>
      </c>
      <c r="J30" s="85">
        <f t="shared" si="9"/>
        <v>13816.522440640565</v>
      </c>
      <c r="K30" s="85"/>
      <c r="L30" s="116">
        <f t="shared" si="3"/>
        <v>493.39662778165143</v>
      </c>
      <c r="M30" s="116">
        <f t="shared" si="7"/>
        <v>28039.876918242655</v>
      </c>
      <c r="N30" s="116">
        <f t="shared" si="8"/>
        <v>1258.1405930828203</v>
      </c>
      <c r="O30" s="122">
        <f t="shared" si="4"/>
        <v>1134.6446688601015</v>
      </c>
      <c r="P30" s="121">
        <f t="shared" si="5"/>
        <v>1251.1089739063943</v>
      </c>
      <c r="Q30" s="120">
        <f t="shared" si="10"/>
        <v>1412.9738209737657</v>
      </c>
      <c r="R30" s="119">
        <f t="shared" si="6"/>
        <v>882.30534125979875</v>
      </c>
    </row>
    <row r="31" spans="1:18" x14ac:dyDescent="0.3">
      <c r="A31">
        <v>25</v>
      </c>
      <c r="B31" s="123">
        <v>50</v>
      </c>
      <c r="C31" s="89">
        <v>1163</v>
      </c>
      <c r="D31" s="85">
        <f t="shared" si="0"/>
        <v>13956</v>
      </c>
      <c r="E31" s="89">
        <v>1161</v>
      </c>
      <c r="F31" s="85">
        <f t="shared" si="1"/>
        <v>13932</v>
      </c>
      <c r="G31" s="85"/>
      <c r="H31" s="116"/>
      <c r="I31" s="89">
        <f t="shared" ref="I31" si="20">N31</f>
        <v>1295.884810875305</v>
      </c>
      <c r="J31" s="85">
        <f t="shared" si="9"/>
        <v>15550.61773050366</v>
      </c>
      <c r="K31" s="85"/>
      <c r="L31" s="116">
        <f t="shared" si="3"/>
        <v>508.198526615101</v>
      </c>
      <c r="M31" s="116">
        <f t="shared" si="7"/>
        <v>28881.073225789936</v>
      </c>
      <c r="N31" s="116">
        <f t="shared" si="8"/>
        <v>1295.884810875305</v>
      </c>
      <c r="O31" s="122">
        <f t="shared" si="4"/>
        <v>1163.0107855816041</v>
      </c>
      <c r="P31" s="121">
        <f t="shared" si="5"/>
        <v>1282.3866982540542</v>
      </c>
      <c r="Q31" s="120">
        <f t="shared" si="10"/>
        <v>1448.2981664981096</v>
      </c>
      <c r="R31" s="119">
        <f t="shared" si="6"/>
        <v>904.3629747912936</v>
      </c>
    </row>
    <row r="32" spans="1:18" x14ac:dyDescent="0.3">
      <c r="A32">
        <v>26</v>
      </c>
      <c r="B32" s="123">
        <v>51</v>
      </c>
      <c r="C32" s="89">
        <v>1163</v>
      </c>
      <c r="D32" s="85">
        <f t="shared" si="0"/>
        <v>13956</v>
      </c>
      <c r="E32" s="89"/>
      <c r="F32" s="85">
        <f t="shared" si="1"/>
        <v>0</v>
      </c>
      <c r="G32" s="85"/>
      <c r="H32" s="116"/>
      <c r="I32" s="89">
        <f t="shared" ref="I32:I34" si="21">I31</f>
        <v>1295.884810875305</v>
      </c>
      <c r="J32" s="85">
        <f t="shared" si="9"/>
        <v>15550.61773050366</v>
      </c>
      <c r="K32" s="85"/>
      <c r="L32" s="116">
        <f t="shared" si="3"/>
        <v>523.44448241355406</v>
      </c>
      <c r="M32" s="116">
        <f t="shared" si="7"/>
        <v>29747.505422563634</v>
      </c>
      <c r="N32" s="116">
        <f t="shared" si="8"/>
        <v>1334.7613552015641</v>
      </c>
      <c r="O32" s="122">
        <f t="shared" si="4"/>
        <v>1192.0860552211441</v>
      </c>
      <c r="P32" s="121">
        <f t="shared" si="5"/>
        <v>1314.4463657104054</v>
      </c>
      <c r="Q32" s="120">
        <f t="shared" si="10"/>
        <v>1484.5056206605623</v>
      </c>
      <c r="R32" s="119">
        <f t="shared" si="6"/>
        <v>926.9720491610758</v>
      </c>
    </row>
    <row r="33" spans="1:18" x14ac:dyDescent="0.3">
      <c r="A33">
        <v>27</v>
      </c>
      <c r="B33" s="123">
        <v>52</v>
      </c>
      <c r="C33" s="89">
        <v>1163</v>
      </c>
      <c r="D33" s="85">
        <f t="shared" si="0"/>
        <v>13956</v>
      </c>
      <c r="E33" s="89"/>
      <c r="F33" s="85">
        <f t="shared" si="1"/>
        <v>0</v>
      </c>
      <c r="G33" s="85"/>
      <c r="H33" s="116"/>
      <c r="I33" s="89">
        <f t="shared" si="21"/>
        <v>1295.884810875305</v>
      </c>
      <c r="J33" s="85">
        <f t="shared" si="9"/>
        <v>15550.61773050366</v>
      </c>
      <c r="K33" s="85"/>
      <c r="L33" s="116">
        <f t="shared" si="3"/>
        <v>539.14781688596065</v>
      </c>
      <c r="M33" s="116">
        <f t="shared" si="7"/>
        <v>30639.930585240545</v>
      </c>
      <c r="N33" s="116">
        <f t="shared" si="8"/>
        <v>1374.8041958576111</v>
      </c>
      <c r="O33" s="122">
        <f t="shared" si="4"/>
        <v>1221.8882066016727</v>
      </c>
      <c r="P33" s="121">
        <f t="shared" si="5"/>
        <v>1347.3075248531654</v>
      </c>
      <c r="Q33" s="120">
        <f t="shared" si="10"/>
        <v>1521.6182611770762</v>
      </c>
      <c r="R33" s="119">
        <f t="shared" si="6"/>
        <v>950.14635039010261</v>
      </c>
    </row>
    <row r="34" spans="1:18" x14ac:dyDescent="0.3">
      <c r="A34">
        <v>28</v>
      </c>
      <c r="B34" s="123">
        <v>53</v>
      </c>
      <c r="C34" s="89">
        <v>1163</v>
      </c>
      <c r="D34" s="85">
        <f t="shared" si="0"/>
        <v>13956</v>
      </c>
      <c r="E34" s="89"/>
      <c r="F34" s="85">
        <f t="shared" si="1"/>
        <v>0</v>
      </c>
      <c r="G34" s="85"/>
      <c r="H34" s="116"/>
      <c r="I34" s="89">
        <f t="shared" si="21"/>
        <v>1295.884810875305</v>
      </c>
      <c r="J34" s="85">
        <f t="shared" si="9"/>
        <v>15550.61773050366</v>
      </c>
      <c r="K34" s="85">
        <f t="shared" ref="K34" si="22">M34</f>
        <v>31559.128502797761</v>
      </c>
      <c r="L34" s="116">
        <f t="shared" si="3"/>
        <v>555.32225139253944</v>
      </c>
      <c r="M34" s="116">
        <f t="shared" si="7"/>
        <v>31559.128502797761</v>
      </c>
      <c r="N34" s="116">
        <f t="shared" si="8"/>
        <v>1416.0483217333394</v>
      </c>
      <c r="O34" s="122">
        <f t="shared" si="4"/>
        <v>1252.4354117667144</v>
      </c>
      <c r="P34" s="121">
        <f t="shared" si="5"/>
        <v>1380.9902129744944</v>
      </c>
      <c r="Q34" s="120">
        <f t="shared" si="10"/>
        <v>1559.658717706503</v>
      </c>
      <c r="R34" s="119">
        <f t="shared" si="6"/>
        <v>973.90000914985512</v>
      </c>
    </row>
    <row r="35" spans="1:18" x14ac:dyDescent="0.3">
      <c r="A35">
        <v>29</v>
      </c>
      <c r="B35" s="123">
        <v>54</v>
      </c>
      <c r="C35" s="89">
        <v>1283</v>
      </c>
      <c r="D35" s="85">
        <f t="shared" si="0"/>
        <v>15396</v>
      </c>
      <c r="E35" s="89"/>
      <c r="F35" s="85">
        <f t="shared" si="1"/>
        <v>0</v>
      </c>
      <c r="G35" s="85"/>
      <c r="H35" s="116"/>
      <c r="I35" s="89">
        <f t="shared" ref="I35" si="23">N35</f>
        <v>1458.5297713853397</v>
      </c>
      <c r="J35" s="85">
        <f t="shared" si="9"/>
        <v>17502.357256624076</v>
      </c>
      <c r="K35" s="85"/>
      <c r="L35" s="116">
        <f t="shared" si="3"/>
        <v>571.98191893431567</v>
      </c>
      <c r="M35" s="116">
        <f t="shared" si="7"/>
        <v>32505.902357881696</v>
      </c>
      <c r="N35" s="116">
        <f t="shared" si="8"/>
        <v>1458.5297713853397</v>
      </c>
      <c r="O35" s="122">
        <f t="shared" si="4"/>
        <v>1283.7462970608822</v>
      </c>
      <c r="P35" s="121">
        <f t="shared" si="5"/>
        <v>1415.5149682988567</v>
      </c>
      <c r="Q35" s="120">
        <f t="shared" si="10"/>
        <v>1598.6501856491655</v>
      </c>
      <c r="R35" s="119">
        <f t="shared" si="6"/>
        <v>998.24750937860142</v>
      </c>
    </row>
    <row r="36" spans="1:18" x14ac:dyDescent="0.3">
      <c r="A36">
        <v>30</v>
      </c>
      <c r="B36" s="123">
        <v>55</v>
      </c>
      <c r="C36" s="89">
        <v>1283</v>
      </c>
      <c r="D36" s="85">
        <f t="shared" si="0"/>
        <v>15396</v>
      </c>
      <c r="E36" s="89"/>
      <c r="F36" s="85">
        <f t="shared" si="1"/>
        <v>0</v>
      </c>
      <c r="G36" s="85"/>
      <c r="H36" s="116"/>
      <c r="I36" s="89">
        <f t="shared" ref="I36:I38" si="24">I35</f>
        <v>1458.5297713853397</v>
      </c>
      <c r="J36" s="85">
        <f t="shared" si="9"/>
        <v>17502.357256624076</v>
      </c>
      <c r="K36" s="85"/>
      <c r="L36" s="116">
        <f t="shared" si="3"/>
        <v>589.14137650234511</v>
      </c>
      <c r="M36" s="116">
        <f t="shared" si="7"/>
        <v>33481.079428618148</v>
      </c>
      <c r="N36" s="116">
        <f t="shared" si="8"/>
        <v>1502.2856645268998</v>
      </c>
      <c r="O36" s="122">
        <f t="shared" si="4"/>
        <v>1315.8399544874042</v>
      </c>
      <c r="P36" s="121">
        <f t="shared" si="5"/>
        <v>1450.9028425063279</v>
      </c>
      <c r="Q36" s="120">
        <f t="shared" si="10"/>
        <v>1638.6164402903944</v>
      </c>
      <c r="R36" s="119">
        <f t="shared" si="6"/>
        <v>1023.2036971130664</v>
      </c>
    </row>
    <row r="37" spans="1:18" x14ac:dyDescent="0.3">
      <c r="A37">
        <v>31</v>
      </c>
      <c r="B37" s="123">
        <v>56</v>
      </c>
      <c r="C37" s="89">
        <v>1283</v>
      </c>
      <c r="D37" s="85">
        <f t="shared" si="0"/>
        <v>15396</v>
      </c>
      <c r="E37" s="89">
        <v>1487</v>
      </c>
      <c r="F37" s="85">
        <f t="shared" si="1"/>
        <v>17844</v>
      </c>
      <c r="G37" s="85">
        <v>1679</v>
      </c>
      <c r="H37" s="116"/>
      <c r="I37" s="89">
        <f t="shared" si="24"/>
        <v>1458.5297713853397</v>
      </c>
      <c r="J37" s="85">
        <f t="shared" si="9"/>
        <v>17502.357256624076</v>
      </c>
      <c r="K37" s="85"/>
      <c r="L37" s="116">
        <f t="shared" si="3"/>
        <v>606.81561779741548</v>
      </c>
      <c r="M37" s="116">
        <f t="shared" si="7"/>
        <v>34485.511811476696</v>
      </c>
      <c r="N37" s="116">
        <f t="shared" si="8"/>
        <v>1547.3542344627069</v>
      </c>
      <c r="O37" s="122">
        <f t="shared" si="4"/>
        <v>1348.7359533495892</v>
      </c>
      <c r="P37" s="121">
        <f t="shared" si="5"/>
        <v>1487.175413568986</v>
      </c>
      <c r="Q37" s="120">
        <f t="shared" si="10"/>
        <v>1679.5818512976541</v>
      </c>
      <c r="R37" s="119">
        <f t="shared" si="6"/>
        <v>1048.7837895408929</v>
      </c>
    </row>
    <row r="38" spans="1:18" x14ac:dyDescent="0.3">
      <c r="A38">
        <v>32</v>
      </c>
      <c r="B38" s="123">
        <v>57</v>
      </c>
      <c r="C38" s="89">
        <v>1283</v>
      </c>
      <c r="D38" s="85">
        <f t="shared" si="0"/>
        <v>15396</v>
      </c>
      <c r="E38" s="89">
        <v>1487</v>
      </c>
      <c r="F38" s="85">
        <f t="shared" si="1"/>
        <v>17844</v>
      </c>
      <c r="G38" s="85"/>
      <c r="H38" s="116"/>
      <c r="I38" s="89">
        <f t="shared" si="24"/>
        <v>1458.5297713853397</v>
      </c>
      <c r="J38" s="85">
        <f t="shared" si="9"/>
        <v>17502.357256624076</v>
      </c>
      <c r="K38" s="85"/>
      <c r="L38" s="116">
        <f t="shared" si="3"/>
        <v>625.02008633133801</v>
      </c>
      <c r="M38" s="116">
        <f t="shared" si="7"/>
        <v>35520.077165821</v>
      </c>
      <c r="N38" s="116">
        <f t="shared" si="8"/>
        <v>1593.7748614965881</v>
      </c>
      <c r="O38" s="122">
        <f t="shared" si="4"/>
        <v>1382.4543521833289</v>
      </c>
      <c r="P38" s="121">
        <f t="shared" si="5"/>
        <v>1524.3547989082106</v>
      </c>
      <c r="Q38" s="120">
        <f t="shared" si="10"/>
        <v>1721.5713975800952</v>
      </c>
      <c r="R38" s="119">
        <f t="shared" si="6"/>
        <v>1075.0033842794151</v>
      </c>
    </row>
    <row r="39" spans="1:18" x14ac:dyDescent="0.3">
      <c r="A39">
        <v>33</v>
      </c>
      <c r="B39" s="123">
        <v>58</v>
      </c>
      <c r="C39" s="89">
        <v>1417</v>
      </c>
      <c r="D39" s="85">
        <f t="shared" ref="D39:D66" si="25">C39*12</f>
        <v>17004</v>
      </c>
      <c r="E39" s="89">
        <v>1487</v>
      </c>
      <c r="F39" s="85">
        <f t="shared" ref="F39:F66" si="26">E39*12</f>
        <v>17844</v>
      </c>
      <c r="G39" s="85"/>
      <c r="H39" s="116"/>
      <c r="I39" s="89">
        <f t="shared" ref="I39" si="27">N39</f>
        <v>1641.5881073414857</v>
      </c>
      <c r="J39" s="85">
        <f t="shared" si="9"/>
        <v>19699.057288097829</v>
      </c>
      <c r="K39" s="85">
        <f t="shared" ref="K39" si="28">M39</f>
        <v>36585.679480795632</v>
      </c>
      <c r="L39" s="116">
        <f t="shared" si="3"/>
        <v>643.77068892127818</v>
      </c>
      <c r="M39" s="116">
        <f t="shared" si="7"/>
        <v>36585.679480795632</v>
      </c>
      <c r="N39" s="116">
        <f t="shared" si="8"/>
        <v>1641.5881073414857</v>
      </c>
      <c r="O39" s="122">
        <f t="shared" si="4"/>
        <v>1417.0157109879119</v>
      </c>
      <c r="P39" s="121">
        <f t="shared" si="5"/>
        <v>1562.4636688809157</v>
      </c>
      <c r="Q39" s="120">
        <f t="shared" si="10"/>
        <v>1764.6106825195975</v>
      </c>
      <c r="R39" s="119">
        <f t="shared" si="6"/>
        <v>1101.8784688864002</v>
      </c>
    </row>
    <row r="40" spans="1:18" x14ac:dyDescent="0.3">
      <c r="A40">
        <v>34</v>
      </c>
      <c r="B40" s="123">
        <v>59</v>
      </c>
      <c r="C40" s="89">
        <v>1417</v>
      </c>
      <c r="D40" s="85">
        <f t="shared" si="25"/>
        <v>17004</v>
      </c>
      <c r="E40" s="89">
        <v>1487</v>
      </c>
      <c r="F40" s="85">
        <f t="shared" si="26"/>
        <v>17844</v>
      </c>
      <c r="G40" s="85"/>
      <c r="H40" s="116"/>
      <c r="I40" s="89">
        <f t="shared" ref="I40:I42" si="29">I39</f>
        <v>1641.5881073414857</v>
      </c>
      <c r="J40" s="85">
        <f t="shared" si="9"/>
        <v>19699.057288097829</v>
      </c>
      <c r="K40" s="85"/>
      <c r="L40" s="116">
        <f t="shared" si="3"/>
        <v>663.08380958891655</v>
      </c>
      <c r="M40" s="116">
        <f t="shared" si="7"/>
        <v>37683.249865219499</v>
      </c>
      <c r="N40" s="116">
        <f t="shared" si="8"/>
        <v>1690.8357505617303</v>
      </c>
      <c r="O40" s="122">
        <f t="shared" si="4"/>
        <v>1452.4411037626096</v>
      </c>
      <c r="P40" s="121">
        <f t="shared" si="5"/>
        <v>1601.5252606029385</v>
      </c>
      <c r="Q40" s="120">
        <f t="shared" si="10"/>
        <v>1808.7259495825872</v>
      </c>
      <c r="R40" s="119">
        <f t="shared" si="6"/>
        <v>1129.4254306085602</v>
      </c>
    </row>
    <row r="41" spans="1:18" x14ac:dyDescent="0.3">
      <c r="A41">
        <v>35</v>
      </c>
      <c r="B41" s="123">
        <v>60</v>
      </c>
      <c r="C41" s="89">
        <v>1417</v>
      </c>
      <c r="D41" s="85">
        <f t="shared" si="25"/>
        <v>17004</v>
      </c>
      <c r="E41" s="89">
        <v>1487</v>
      </c>
      <c r="F41" s="85">
        <f t="shared" si="26"/>
        <v>17844</v>
      </c>
      <c r="G41" s="85"/>
      <c r="H41" s="116"/>
      <c r="I41" s="89">
        <f t="shared" si="29"/>
        <v>1641.5881073414857</v>
      </c>
      <c r="J41" s="85">
        <f t="shared" si="9"/>
        <v>19699.057288097829</v>
      </c>
      <c r="K41" s="85"/>
      <c r="L41" s="116">
        <f t="shared" si="3"/>
        <v>682.97632387658405</v>
      </c>
      <c r="M41" s="116">
        <f t="shared" si="7"/>
        <v>38813.747361176087</v>
      </c>
      <c r="N41" s="116">
        <f t="shared" si="8"/>
        <v>1741.5608230785822</v>
      </c>
      <c r="O41" s="122">
        <f t="shared" ref="O41:O65" si="30">O40*1.025</f>
        <v>1488.7521313566747</v>
      </c>
      <c r="P41" s="121">
        <f t="shared" ref="P41:P65" si="31">P40*1.025</f>
        <v>1641.5633921180117</v>
      </c>
      <c r="Q41" s="120">
        <f t="shared" si="10"/>
        <v>1853.9440983221516</v>
      </c>
      <c r="R41" s="119">
        <f t="shared" si="6"/>
        <v>1157.661066373774</v>
      </c>
    </row>
    <row r="42" spans="1:18" x14ac:dyDescent="0.3">
      <c r="A42">
        <v>36</v>
      </c>
      <c r="B42" s="123">
        <v>61</v>
      </c>
      <c r="C42" s="89">
        <v>1417</v>
      </c>
      <c r="D42" s="85">
        <f t="shared" si="25"/>
        <v>17004</v>
      </c>
      <c r="E42" s="89"/>
      <c r="F42" s="85">
        <f t="shared" si="26"/>
        <v>0</v>
      </c>
      <c r="G42" s="85"/>
      <c r="H42" s="116"/>
      <c r="I42" s="89">
        <f t="shared" si="29"/>
        <v>1641.5881073414857</v>
      </c>
      <c r="J42" s="85">
        <f t="shared" si="9"/>
        <v>19699.057288097829</v>
      </c>
      <c r="K42" s="85"/>
      <c r="L42" s="116">
        <f t="shared" si="3"/>
        <v>703.4656135928816</v>
      </c>
      <c r="M42" s="116">
        <f t="shared" si="7"/>
        <v>39978.159782011367</v>
      </c>
      <c r="N42" s="116">
        <f t="shared" si="8"/>
        <v>1793.8076477709396</v>
      </c>
      <c r="O42" s="122">
        <f t="shared" si="30"/>
        <v>1525.9709346405914</v>
      </c>
      <c r="P42" s="121">
        <f t="shared" si="31"/>
        <v>1682.6024769209619</v>
      </c>
      <c r="Q42" s="120">
        <f t="shared" si="10"/>
        <v>1900.2927007802052</v>
      </c>
      <c r="R42" s="119">
        <f t="shared" si="6"/>
        <v>1186.6025930331182</v>
      </c>
    </row>
    <row r="43" spans="1:18" x14ac:dyDescent="0.3">
      <c r="A43">
        <v>37</v>
      </c>
      <c r="B43" s="123">
        <v>62</v>
      </c>
      <c r="C43" s="89">
        <v>1564</v>
      </c>
      <c r="D43" s="85">
        <f t="shared" si="25"/>
        <v>18768</v>
      </c>
      <c r="E43" s="89"/>
      <c r="F43" s="85">
        <f t="shared" si="26"/>
        <v>0</v>
      </c>
      <c r="G43" s="85"/>
      <c r="H43" s="116"/>
      <c r="I43" s="89">
        <f t="shared" ref="I43" si="32">N43</f>
        <v>1847.6218772040679</v>
      </c>
      <c r="J43" s="85">
        <f t="shared" si="9"/>
        <v>22171.462526448813</v>
      </c>
      <c r="K43" s="85"/>
      <c r="L43" s="116">
        <f t="shared" si="3"/>
        <v>724.56958200066811</v>
      </c>
      <c r="M43" s="116">
        <f t="shared" si="7"/>
        <v>41177.504575471707</v>
      </c>
      <c r="N43" s="116">
        <f t="shared" si="8"/>
        <v>1847.6218772040679</v>
      </c>
      <c r="O43" s="122">
        <f t="shared" si="30"/>
        <v>1564.1202080066059</v>
      </c>
      <c r="P43" s="121">
        <f t="shared" si="31"/>
        <v>1724.6675388439858</v>
      </c>
      <c r="Q43" s="120">
        <f t="shared" si="10"/>
        <v>1947.8000182997102</v>
      </c>
      <c r="R43" s="119">
        <f t="shared" si="6"/>
        <v>1216.267657858946</v>
      </c>
    </row>
    <row r="44" spans="1:18" x14ac:dyDescent="0.3">
      <c r="A44">
        <v>38</v>
      </c>
      <c r="B44" s="123">
        <v>63</v>
      </c>
      <c r="C44" s="89">
        <v>1564</v>
      </c>
      <c r="D44" s="85">
        <f t="shared" si="25"/>
        <v>18768</v>
      </c>
      <c r="E44" s="89"/>
      <c r="F44" s="85">
        <f t="shared" si="26"/>
        <v>0</v>
      </c>
      <c r="G44" s="85"/>
      <c r="H44" s="116"/>
      <c r="I44" s="89">
        <f t="shared" ref="I44:I46" si="33">I43</f>
        <v>1847.6218772040679</v>
      </c>
      <c r="J44" s="85">
        <f t="shared" si="9"/>
        <v>22171.462526448813</v>
      </c>
      <c r="K44" s="85">
        <f t="shared" ref="K44" si="34">M44</f>
        <v>42412.82971273586</v>
      </c>
      <c r="L44" s="116">
        <f t="shared" si="3"/>
        <v>746.30666946068811</v>
      </c>
      <c r="M44" s="116">
        <f t="shared" si="7"/>
        <v>42412.82971273586</v>
      </c>
      <c r="N44" s="116">
        <f t="shared" si="8"/>
        <v>1903.0505335201899</v>
      </c>
      <c r="O44" s="122">
        <f t="shared" si="30"/>
        <v>1603.2232132067709</v>
      </c>
      <c r="P44" s="121">
        <f t="shared" si="31"/>
        <v>1767.7842273150852</v>
      </c>
      <c r="Q44" s="120">
        <f t="shared" si="10"/>
        <v>1996.4950187572028</v>
      </c>
      <c r="R44" s="119">
        <f t="shared" si="6"/>
        <v>1246.6743493054196</v>
      </c>
    </row>
    <row r="45" spans="1:18" x14ac:dyDescent="0.3">
      <c r="A45">
        <v>39</v>
      </c>
      <c r="B45" s="123">
        <v>64</v>
      </c>
      <c r="C45" s="89">
        <v>1564</v>
      </c>
      <c r="D45" s="85">
        <f t="shared" si="25"/>
        <v>18768</v>
      </c>
      <c r="E45" s="89"/>
      <c r="F45" s="85">
        <f t="shared" si="26"/>
        <v>0</v>
      </c>
      <c r="G45" s="85"/>
      <c r="H45" s="116"/>
      <c r="I45" s="89">
        <f t="shared" si="33"/>
        <v>1847.6218772040679</v>
      </c>
      <c r="J45" s="85">
        <f t="shared" si="9"/>
        <v>22171.462526448813</v>
      </c>
      <c r="K45" s="85"/>
      <c r="L45" s="116">
        <f t="shared" si="3"/>
        <v>768.69586954450881</v>
      </c>
      <c r="M45" s="116">
        <f t="shared" si="7"/>
        <v>43685.214604117937</v>
      </c>
      <c r="N45" s="116">
        <f t="shared" si="8"/>
        <v>1960.1420495257958</v>
      </c>
      <c r="O45" s="122">
        <f t="shared" si="30"/>
        <v>1643.30379353694</v>
      </c>
      <c r="P45" s="121">
        <f t="shared" si="31"/>
        <v>1811.9788329979622</v>
      </c>
      <c r="Q45" s="120">
        <f t="shared" si="10"/>
        <v>2046.4073942261327</v>
      </c>
      <c r="R45" s="119">
        <f t="shared" si="6"/>
        <v>1277.8412080380549</v>
      </c>
    </row>
    <row r="46" spans="1:18" x14ac:dyDescent="0.3">
      <c r="A46">
        <v>40</v>
      </c>
      <c r="B46" s="123">
        <v>65</v>
      </c>
      <c r="C46" s="89">
        <v>1564</v>
      </c>
      <c r="D46" s="85">
        <f t="shared" si="25"/>
        <v>18768</v>
      </c>
      <c r="E46" s="89"/>
      <c r="F46" s="85">
        <f t="shared" si="26"/>
        <v>0</v>
      </c>
      <c r="G46" s="85"/>
      <c r="H46" s="116"/>
      <c r="I46" s="89">
        <f t="shared" si="33"/>
        <v>1847.6218772040679</v>
      </c>
      <c r="J46" s="85">
        <f t="shared" si="9"/>
        <v>22171.462526448813</v>
      </c>
      <c r="K46" s="85"/>
      <c r="L46" s="116">
        <f t="shared" si="3"/>
        <v>791.75674563084408</v>
      </c>
      <c r="M46" s="116">
        <f t="shared" si="7"/>
        <v>44995.771042241475</v>
      </c>
      <c r="N46" s="116">
        <f t="shared" si="8"/>
        <v>2018.9463110115696</v>
      </c>
      <c r="O46" s="122">
        <f t="shared" si="30"/>
        <v>1684.3863883753634</v>
      </c>
      <c r="P46" s="121">
        <f t="shared" si="31"/>
        <v>1857.2783038229111</v>
      </c>
      <c r="Q46" s="120">
        <f t="shared" si="10"/>
        <v>2097.5675790817859</v>
      </c>
      <c r="R46" s="119">
        <f t="shared" si="6"/>
        <v>1309.7872382390062</v>
      </c>
    </row>
    <row r="47" spans="1:18" x14ac:dyDescent="0.3">
      <c r="A47">
        <v>41</v>
      </c>
      <c r="B47" s="123">
        <v>66</v>
      </c>
      <c r="C47" s="89">
        <v>1726</v>
      </c>
      <c r="D47" s="85">
        <f t="shared" si="25"/>
        <v>20712</v>
      </c>
      <c r="E47" s="89">
        <v>1903</v>
      </c>
      <c r="F47" s="85">
        <f t="shared" si="26"/>
        <v>22836</v>
      </c>
      <c r="G47" s="85">
        <v>2150</v>
      </c>
      <c r="H47" s="116"/>
      <c r="I47" s="89">
        <f t="shared" ref="I47" si="35">N47</f>
        <v>2079.5147003419165</v>
      </c>
      <c r="J47" s="85">
        <f t="shared" si="9"/>
        <v>24954.176404102996</v>
      </c>
      <c r="K47" s="85"/>
      <c r="L47" s="116">
        <f t="shared" si="3"/>
        <v>815.50944799976946</v>
      </c>
      <c r="M47" s="116">
        <f t="shared" si="7"/>
        <v>46345.644173508721</v>
      </c>
      <c r="N47" s="116">
        <f t="shared" si="8"/>
        <v>2079.5147003419165</v>
      </c>
      <c r="O47" s="122">
        <f t="shared" si="30"/>
        <v>1726.4960480847474</v>
      </c>
      <c r="P47" s="121">
        <f t="shared" si="31"/>
        <v>1903.7102614184837</v>
      </c>
      <c r="Q47" s="120">
        <f t="shared" si="10"/>
        <v>2150.0067685588301</v>
      </c>
      <c r="R47" s="119">
        <f t="shared" si="6"/>
        <v>1342.5319191949814</v>
      </c>
    </row>
    <row r="48" spans="1:18" x14ac:dyDescent="0.3">
      <c r="A48">
        <v>42</v>
      </c>
      <c r="B48" s="123">
        <v>67</v>
      </c>
      <c r="C48" s="89">
        <v>1726</v>
      </c>
      <c r="D48" s="85">
        <f t="shared" si="25"/>
        <v>20712</v>
      </c>
      <c r="E48" s="89">
        <v>1903</v>
      </c>
      <c r="F48" s="85">
        <f t="shared" si="26"/>
        <v>22836</v>
      </c>
      <c r="G48" s="85"/>
      <c r="H48" s="116"/>
      <c r="I48" s="89">
        <f t="shared" ref="I48:I50" si="36">I47</f>
        <v>2079.5147003419165</v>
      </c>
      <c r="J48" s="85">
        <f t="shared" si="9"/>
        <v>24954.176404102996</v>
      </c>
      <c r="K48" s="85"/>
      <c r="L48" s="116">
        <f t="shared" si="3"/>
        <v>839.97473143976254</v>
      </c>
      <c r="M48" s="116">
        <f t="shared" si="7"/>
        <v>47736.013498713983</v>
      </c>
      <c r="N48" s="116">
        <f t="shared" si="8"/>
        <v>2141.9001413521742</v>
      </c>
      <c r="O48" s="122">
        <f t="shared" si="30"/>
        <v>1769.658449286866</v>
      </c>
      <c r="P48" s="121">
        <f t="shared" si="31"/>
        <v>1951.3030179539455</v>
      </c>
      <c r="Q48" s="120">
        <f t="shared" si="10"/>
        <v>2203.7569377728005</v>
      </c>
      <c r="R48" s="119">
        <f t="shared" si="6"/>
        <v>1376.0952171748559</v>
      </c>
    </row>
    <row r="49" spans="1:18" x14ac:dyDescent="0.3">
      <c r="A49">
        <v>43</v>
      </c>
      <c r="B49" s="123">
        <v>68</v>
      </c>
      <c r="C49" s="89">
        <v>1726</v>
      </c>
      <c r="D49" s="85">
        <f t="shared" si="25"/>
        <v>20712</v>
      </c>
      <c r="E49" s="89">
        <v>1903</v>
      </c>
      <c r="F49" s="85">
        <f t="shared" si="26"/>
        <v>22836</v>
      </c>
      <c r="G49" s="85"/>
      <c r="H49" s="116"/>
      <c r="I49" s="89">
        <f t="shared" si="36"/>
        <v>2079.5147003419165</v>
      </c>
      <c r="J49" s="85">
        <f t="shared" si="9"/>
        <v>24954.176404102996</v>
      </c>
      <c r="K49" s="85">
        <f t="shared" ref="K49" si="37">M49</f>
        <v>49168.093903675406</v>
      </c>
      <c r="L49" s="116">
        <f t="shared" si="3"/>
        <v>865.17397338295541</v>
      </c>
      <c r="M49" s="116">
        <f t="shared" si="7"/>
        <v>49168.093903675406</v>
      </c>
      <c r="N49" s="116">
        <f t="shared" si="8"/>
        <v>2206.1571455927397</v>
      </c>
      <c r="O49" s="122">
        <f t="shared" si="30"/>
        <v>1813.8999105190376</v>
      </c>
      <c r="P49" s="121">
        <f t="shared" si="31"/>
        <v>2000.0855934027941</v>
      </c>
      <c r="Q49" s="120">
        <f t="shared" si="10"/>
        <v>2258.8508612171204</v>
      </c>
      <c r="R49" s="119">
        <f t="shared" si="6"/>
        <v>1410.4975976042272</v>
      </c>
    </row>
    <row r="50" spans="1:18" x14ac:dyDescent="0.3">
      <c r="A50">
        <v>44</v>
      </c>
      <c r="B50" s="123">
        <v>69</v>
      </c>
      <c r="C50" s="89">
        <v>1726</v>
      </c>
      <c r="D50" s="85">
        <f t="shared" si="25"/>
        <v>20712</v>
      </c>
      <c r="E50" s="89">
        <v>1903</v>
      </c>
      <c r="F50" s="85">
        <f t="shared" si="26"/>
        <v>22836</v>
      </c>
      <c r="G50" s="85"/>
      <c r="H50" s="116"/>
      <c r="I50" s="89">
        <f t="shared" si="36"/>
        <v>2079.5147003419165</v>
      </c>
      <c r="J50" s="85">
        <f t="shared" si="9"/>
        <v>24954.176404102996</v>
      </c>
      <c r="K50" s="85"/>
      <c r="L50" s="116">
        <f t="shared" si="3"/>
        <v>891.12919258444413</v>
      </c>
      <c r="M50" s="116">
        <f t="shared" si="7"/>
        <v>50643.136720785667</v>
      </c>
      <c r="N50" s="116">
        <f t="shared" si="8"/>
        <v>2272.341859960522</v>
      </c>
      <c r="O50" s="122">
        <f t="shared" si="30"/>
        <v>1859.2474082820133</v>
      </c>
      <c r="P50" s="121">
        <f t="shared" si="31"/>
        <v>2050.0877332378636</v>
      </c>
      <c r="Q50" s="120">
        <f t="shared" ref="Q50:Q66" si="38">Q49*1.025</f>
        <v>2315.322132747548</v>
      </c>
      <c r="R50" s="119">
        <f t="shared" si="6"/>
        <v>1445.7600375443328</v>
      </c>
    </row>
    <row r="51" spans="1:18" x14ac:dyDescent="0.3">
      <c r="A51">
        <v>45</v>
      </c>
      <c r="B51" s="123">
        <v>70</v>
      </c>
      <c r="C51" s="89">
        <v>1905</v>
      </c>
      <c r="D51" s="85">
        <f t="shared" si="25"/>
        <v>22860</v>
      </c>
      <c r="E51" s="89">
        <v>1903</v>
      </c>
      <c r="F51" s="85">
        <f t="shared" si="26"/>
        <v>22836</v>
      </c>
      <c r="G51" s="85"/>
      <c r="H51" s="116"/>
      <c r="I51" s="89">
        <f t="shared" ref="I51" si="39">N51</f>
        <v>2340.5121157593376</v>
      </c>
      <c r="J51" s="85">
        <f t="shared" si="9"/>
        <v>28086.145389112051</v>
      </c>
      <c r="K51" s="85"/>
      <c r="L51" s="116">
        <f t="shared" si="3"/>
        <v>917.86306836197753</v>
      </c>
      <c r="M51" s="116">
        <f t="shared" si="7"/>
        <v>52162.430822409238</v>
      </c>
      <c r="N51" s="116">
        <f t="shared" si="8"/>
        <v>2340.5121157593376</v>
      </c>
      <c r="O51" s="122">
        <f t="shared" si="30"/>
        <v>1905.7285934890635</v>
      </c>
      <c r="P51" s="121">
        <f t="shared" si="31"/>
        <v>2101.3399265688099</v>
      </c>
      <c r="Q51" s="120">
        <f t="shared" si="38"/>
        <v>2373.2051860662364</v>
      </c>
      <c r="R51" s="119">
        <f t="shared" si="6"/>
        <v>1481.9040384829409</v>
      </c>
    </row>
    <row r="52" spans="1:18" x14ac:dyDescent="0.3">
      <c r="A52">
        <v>46</v>
      </c>
      <c r="B52" s="123">
        <v>71</v>
      </c>
      <c r="C52" s="89">
        <v>1905</v>
      </c>
      <c r="D52" s="85">
        <f t="shared" si="25"/>
        <v>22860</v>
      </c>
      <c r="E52" s="89"/>
      <c r="F52" s="85">
        <f t="shared" si="26"/>
        <v>0</v>
      </c>
      <c r="G52" s="85"/>
      <c r="H52" s="116"/>
      <c r="I52" s="89">
        <f t="shared" ref="I52:I54" si="40">I51</f>
        <v>2340.5121157593376</v>
      </c>
      <c r="J52" s="85">
        <f t="shared" si="9"/>
        <v>28086.145389112051</v>
      </c>
      <c r="K52" s="85"/>
      <c r="L52" s="116">
        <f t="shared" si="3"/>
        <v>945.39896041283691</v>
      </c>
      <c r="M52" s="116">
        <f t="shared" si="7"/>
        <v>53727.303747081518</v>
      </c>
      <c r="N52" s="116">
        <f t="shared" si="8"/>
        <v>2410.7274792321177</v>
      </c>
      <c r="O52" s="122">
        <f t="shared" si="30"/>
        <v>1953.37180832629</v>
      </c>
      <c r="P52" s="121">
        <f t="shared" si="31"/>
        <v>2153.8734247330299</v>
      </c>
      <c r="Q52" s="120">
        <f t="shared" si="38"/>
        <v>2432.535315717892</v>
      </c>
      <c r="R52" s="119">
        <f t="shared" si="6"/>
        <v>1518.9516394450143</v>
      </c>
    </row>
    <row r="53" spans="1:18" x14ac:dyDescent="0.3">
      <c r="A53">
        <v>47</v>
      </c>
      <c r="B53" s="123">
        <v>72</v>
      </c>
      <c r="C53" s="89">
        <v>1905</v>
      </c>
      <c r="D53" s="85">
        <f t="shared" si="25"/>
        <v>22860</v>
      </c>
      <c r="E53" s="89"/>
      <c r="F53" s="85">
        <f t="shared" si="26"/>
        <v>0</v>
      </c>
      <c r="G53" s="85"/>
      <c r="H53" s="116"/>
      <c r="I53" s="89">
        <f t="shared" si="40"/>
        <v>2340.5121157593376</v>
      </c>
      <c r="J53" s="85">
        <f t="shared" si="9"/>
        <v>28086.145389112051</v>
      </c>
      <c r="K53" s="85"/>
      <c r="L53" s="116">
        <f t="shared" si="3"/>
        <v>973.76092922522207</v>
      </c>
      <c r="M53" s="116">
        <f t="shared" si="7"/>
        <v>55339.122859493968</v>
      </c>
      <c r="N53" s="116">
        <f t="shared" si="8"/>
        <v>2483.0493036090811</v>
      </c>
      <c r="O53" s="122">
        <f t="shared" si="30"/>
        <v>2002.206103534447</v>
      </c>
      <c r="P53" s="121">
        <f t="shared" si="31"/>
        <v>2207.7202603513556</v>
      </c>
      <c r="Q53" s="120">
        <f t="shared" si="38"/>
        <v>2493.3486986108392</v>
      </c>
      <c r="R53" s="119">
        <f t="shared" si="6"/>
        <v>1556.9254304311396</v>
      </c>
    </row>
    <row r="54" spans="1:18" x14ac:dyDescent="0.3">
      <c r="A54">
        <v>48</v>
      </c>
      <c r="B54" s="123">
        <v>73</v>
      </c>
      <c r="C54" s="89">
        <v>1905</v>
      </c>
      <c r="D54" s="85">
        <f t="shared" si="25"/>
        <v>22860</v>
      </c>
      <c r="E54" s="89"/>
      <c r="F54" s="85">
        <f t="shared" si="26"/>
        <v>0</v>
      </c>
      <c r="G54" s="85"/>
      <c r="H54" s="116"/>
      <c r="I54" s="89">
        <f t="shared" si="40"/>
        <v>2340.5121157593376</v>
      </c>
      <c r="J54" s="85">
        <f t="shared" si="9"/>
        <v>28086.145389112051</v>
      </c>
      <c r="K54" s="85">
        <f t="shared" ref="K54" si="41">M54</f>
        <v>56999.29654527879</v>
      </c>
      <c r="L54" s="116">
        <f t="shared" si="3"/>
        <v>1002.9737571019788</v>
      </c>
      <c r="M54" s="116">
        <f t="shared" si="7"/>
        <v>56999.29654527879</v>
      </c>
      <c r="N54" s="116">
        <f t="shared" si="8"/>
        <v>2557.5407827173535</v>
      </c>
      <c r="O54" s="122">
        <f t="shared" si="30"/>
        <v>2052.2612561228079</v>
      </c>
      <c r="P54" s="121">
        <f t="shared" si="31"/>
        <v>2262.9132668601392</v>
      </c>
      <c r="Q54" s="120">
        <f t="shared" si="38"/>
        <v>2555.6824160761098</v>
      </c>
      <c r="R54" s="119">
        <f t="shared" si="6"/>
        <v>1595.8485661919181</v>
      </c>
    </row>
    <row r="55" spans="1:18" x14ac:dyDescent="0.3">
      <c r="A55">
        <v>49</v>
      </c>
      <c r="B55" s="123">
        <v>74</v>
      </c>
      <c r="C55" s="89">
        <v>2103</v>
      </c>
      <c r="D55" s="85">
        <f t="shared" si="25"/>
        <v>25236</v>
      </c>
      <c r="E55" s="89"/>
      <c r="F55" s="85">
        <f t="shared" si="26"/>
        <v>0</v>
      </c>
      <c r="G55" s="85"/>
      <c r="H55" s="116"/>
      <c r="I55" s="89">
        <f t="shared" ref="I55" si="42">N55</f>
        <v>2634.2670061988742</v>
      </c>
      <c r="J55" s="85">
        <f t="shared" si="9"/>
        <v>31611.204074386493</v>
      </c>
      <c r="K55" s="85"/>
      <c r="L55" s="116">
        <f t="shared" si="3"/>
        <v>1033.0629698150381</v>
      </c>
      <c r="M55" s="116">
        <f t="shared" si="7"/>
        <v>58709.275441637154</v>
      </c>
      <c r="N55" s="116">
        <f t="shared" si="8"/>
        <v>2634.2670061988742</v>
      </c>
      <c r="O55" s="122">
        <f t="shared" si="30"/>
        <v>2103.567787525878</v>
      </c>
      <c r="P55" s="121">
        <f t="shared" si="31"/>
        <v>2319.4860985316423</v>
      </c>
      <c r="Q55" s="120">
        <f t="shared" si="38"/>
        <v>2619.5744764780125</v>
      </c>
      <c r="R55" s="119">
        <f t="shared" si="6"/>
        <v>1635.744780346716</v>
      </c>
    </row>
    <row r="56" spans="1:18" x14ac:dyDescent="0.3">
      <c r="A56">
        <v>50</v>
      </c>
      <c r="B56" s="123">
        <v>75</v>
      </c>
      <c r="C56" s="89">
        <v>2103</v>
      </c>
      <c r="D56" s="85">
        <f t="shared" si="25"/>
        <v>25236</v>
      </c>
      <c r="E56" s="89"/>
      <c r="F56" s="85">
        <f t="shared" si="26"/>
        <v>0</v>
      </c>
      <c r="G56" s="85"/>
      <c r="H56" s="116"/>
      <c r="I56" s="89">
        <f t="shared" ref="I56:I58" si="43">I55</f>
        <v>2634.2670061988742</v>
      </c>
      <c r="J56" s="85">
        <f t="shared" si="9"/>
        <v>31611.204074386493</v>
      </c>
      <c r="K56" s="85"/>
      <c r="L56" s="116">
        <f t="shared" si="3"/>
        <v>1064.0548589094892</v>
      </c>
      <c r="M56" s="116">
        <f t="shared" si="7"/>
        <v>60470.553704886268</v>
      </c>
      <c r="N56" s="116">
        <f t="shared" si="8"/>
        <v>2713.2950163848404</v>
      </c>
      <c r="O56" s="122">
        <f t="shared" si="30"/>
        <v>2156.1569822140245</v>
      </c>
      <c r="P56" s="121">
        <f t="shared" si="31"/>
        <v>2377.4732509949331</v>
      </c>
      <c r="Q56" s="120">
        <f t="shared" si="38"/>
        <v>2685.0638383899627</v>
      </c>
      <c r="R56" s="119">
        <f t="shared" si="6"/>
        <v>1676.6383998553838</v>
      </c>
    </row>
    <row r="57" spans="1:18" x14ac:dyDescent="0.3">
      <c r="A57">
        <v>51</v>
      </c>
      <c r="B57" s="123">
        <v>76</v>
      </c>
      <c r="C57" s="89">
        <v>2103</v>
      </c>
      <c r="D57" s="85">
        <f t="shared" si="25"/>
        <v>25236</v>
      </c>
      <c r="E57" s="89">
        <v>2436</v>
      </c>
      <c r="F57" s="85">
        <f t="shared" si="26"/>
        <v>29232</v>
      </c>
      <c r="G57" s="85">
        <v>2752</v>
      </c>
      <c r="H57" s="116"/>
      <c r="I57" s="89">
        <f t="shared" si="43"/>
        <v>2634.2670061988742</v>
      </c>
      <c r="J57" s="85">
        <f t="shared" si="9"/>
        <v>31611.204074386493</v>
      </c>
      <c r="K57" s="85"/>
      <c r="L57" s="116">
        <f t="shared" si="3"/>
        <v>1095.9765046767739</v>
      </c>
      <c r="M57" s="116">
        <f t="shared" si="7"/>
        <v>62284.670316032854</v>
      </c>
      <c r="N57" s="116">
        <f t="shared" si="8"/>
        <v>2794.6938668763855</v>
      </c>
      <c r="O57" s="122">
        <f t="shared" si="30"/>
        <v>2210.0609067693749</v>
      </c>
      <c r="P57" s="121">
        <f t="shared" si="31"/>
        <v>2436.910082269806</v>
      </c>
      <c r="Q57" s="120">
        <f t="shared" si="38"/>
        <v>2752.1904343497117</v>
      </c>
      <c r="R57" s="119">
        <f t="shared" si="6"/>
        <v>1718.5543598517681</v>
      </c>
    </row>
    <row r="58" spans="1:18" x14ac:dyDescent="0.3">
      <c r="A58">
        <v>52</v>
      </c>
      <c r="B58" s="123">
        <v>77</v>
      </c>
      <c r="C58" s="89">
        <v>2103</v>
      </c>
      <c r="D58" s="85">
        <f t="shared" si="25"/>
        <v>25236</v>
      </c>
      <c r="E58" s="89">
        <v>2436</v>
      </c>
      <c r="F58" s="85">
        <f t="shared" si="26"/>
        <v>29232</v>
      </c>
      <c r="G58" s="85"/>
      <c r="H58" s="116"/>
      <c r="I58" s="89">
        <f t="shared" si="43"/>
        <v>2634.2670061988742</v>
      </c>
      <c r="J58" s="85">
        <f t="shared" si="9"/>
        <v>31611.204074386493</v>
      </c>
      <c r="K58" s="85"/>
      <c r="L58" s="116">
        <f t="shared" si="3"/>
        <v>1128.855799817077</v>
      </c>
      <c r="M58" s="116">
        <f t="shared" si="7"/>
        <v>64153.21042551384</v>
      </c>
      <c r="N58" s="116">
        <f t="shared" si="8"/>
        <v>2878.5346828826773</v>
      </c>
      <c r="O58" s="122">
        <f t="shared" si="30"/>
        <v>2265.3124294386089</v>
      </c>
      <c r="P58" s="121">
        <f t="shared" si="31"/>
        <v>2497.8328343265512</v>
      </c>
      <c r="Q58" s="120">
        <f t="shared" si="38"/>
        <v>2820.9951952084543</v>
      </c>
      <c r="R58" s="119">
        <f t="shared" si="6"/>
        <v>1761.5182188480621</v>
      </c>
    </row>
    <row r="59" spans="1:18" x14ac:dyDescent="0.3">
      <c r="A59">
        <v>53</v>
      </c>
      <c r="B59" s="123">
        <v>78</v>
      </c>
      <c r="C59" s="89">
        <v>2321</v>
      </c>
      <c r="D59" s="85">
        <f t="shared" si="25"/>
        <v>27852</v>
      </c>
      <c r="E59" s="89">
        <v>2436</v>
      </c>
      <c r="F59" s="85">
        <f t="shared" si="26"/>
        <v>29232</v>
      </c>
      <c r="G59" s="85"/>
      <c r="H59" s="116"/>
      <c r="I59" s="89">
        <f t="shared" ref="I59" si="44">N59</f>
        <v>2964.8907233691575</v>
      </c>
      <c r="J59" s="85">
        <f t="shared" si="9"/>
        <v>35578.688680429892</v>
      </c>
      <c r="K59" s="85">
        <f t="shared" ref="K59" si="45">M59</f>
        <v>66077.806738279251</v>
      </c>
      <c r="L59" s="116">
        <f t="shared" si="3"/>
        <v>1162.7214738115892</v>
      </c>
      <c r="M59" s="116">
        <f t="shared" si="7"/>
        <v>66077.806738279251</v>
      </c>
      <c r="N59" s="116">
        <f t="shared" si="8"/>
        <v>2964.8907233691575</v>
      </c>
      <c r="O59" s="122">
        <f t="shared" si="30"/>
        <v>2321.9452401745739</v>
      </c>
      <c r="P59" s="121">
        <f t="shared" si="31"/>
        <v>2560.2786551847148</v>
      </c>
      <c r="Q59" s="120">
        <f t="shared" si="38"/>
        <v>2891.5200750886656</v>
      </c>
      <c r="R59" s="119">
        <f t="shared" si="6"/>
        <v>1805.5561743192636</v>
      </c>
    </row>
    <row r="60" spans="1:18" x14ac:dyDescent="0.3">
      <c r="A60">
        <v>54</v>
      </c>
      <c r="B60" s="123">
        <v>79</v>
      </c>
      <c r="C60" s="89">
        <v>2321</v>
      </c>
      <c r="D60" s="85">
        <f t="shared" si="25"/>
        <v>27852</v>
      </c>
      <c r="E60" s="89">
        <v>2436</v>
      </c>
      <c r="F60" s="85">
        <f t="shared" si="26"/>
        <v>29232</v>
      </c>
      <c r="G60" s="85"/>
      <c r="H60" s="116"/>
      <c r="I60" s="89">
        <f t="shared" ref="I60:I62" si="46">I59</f>
        <v>2964.8907233691575</v>
      </c>
      <c r="J60" s="85">
        <f t="shared" si="9"/>
        <v>35578.688680429892</v>
      </c>
      <c r="K60" s="85"/>
      <c r="L60" s="116">
        <f t="shared" si="3"/>
        <v>1197.603118025937</v>
      </c>
      <c r="M60" s="116">
        <f t="shared" si="7"/>
        <v>68060.140940427635</v>
      </c>
      <c r="N60" s="116">
        <f t="shared" si="8"/>
        <v>3053.8374450702322</v>
      </c>
      <c r="O60" s="122">
        <f t="shared" si="30"/>
        <v>2379.9938711789382</v>
      </c>
      <c r="P60" s="121">
        <f t="shared" si="31"/>
        <v>2624.2856215643324</v>
      </c>
      <c r="Q60" s="120">
        <f t="shared" si="38"/>
        <v>2963.8080769658818</v>
      </c>
      <c r="R60" s="119">
        <f t="shared" si="6"/>
        <v>1850.695078677245</v>
      </c>
    </row>
    <row r="61" spans="1:18" x14ac:dyDescent="0.3">
      <c r="A61">
        <v>55</v>
      </c>
      <c r="B61" s="123">
        <v>80</v>
      </c>
      <c r="C61" s="89">
        <v>2321</v>
      </c>
      <c r="D61" s="85">
        <f t="shared" si="25"/>
        <v>27852</v>
      </c>
      <c r="E61" s="89">
        <v>2436</v>
      </c>
      <c r="F61" s="85">
        <f t="shared" si="26"/>
        <v>29232</v>
      </c>
      <c r="G61" s="85"/>
      <c r="H61" s="116"/>
      <c r="I61" s="89">
        <f t="shared" si="46"/>
        <v>2964.8907233691575</v>
      </c>
      <c r="J61" s="85">
        <f t="shared" si="9"/>
        <v>35578.688680429892</v>
      </c>
      <c r="K61" s="85"/>
      <c r="L61" s="116">
        <f t="shared" si="3"/>
        <v>1233.531211566715</v>
      </c>
      <c r="M61" s="116">
        <f t="shared" si="7"/>
        <v>70101.945168640465</v>
      </c>
      <c r="N61" s="116">
        <f t="shared" si="8"/>
        <v>3145.452568422339</v>
      </c>
      <c r="O61" s="122">
        <f t="shared" si="30"/>
        <v>2439.4937179584113</v>
      </c>
      <c r="P61" s="121">
        <f t="shared" si="31"/>
        <v>2689.8927621034404</v>
      </c>
      <c r="Q61" s="120">
        <f t="shared" si="38"/>
        <v>3037.9032788900286</v>
      </c>
      <c r="R61" s="119">
        <f t="shared" si="6"/>
        <v>1896.9624556441759</v>
      </c>
    </row>
    <row r="62" spans="1:18" x14ac:dyDescent="0.3">
      <c r="A62">
        <v>56</v>
      </c>
      <c r="B62" s="123">
        <v>81</v>
      </c>
      <c r="C62" s="89">
        <v>2321</v>
      </c>
      <c r="D62" s="85">
        <f t="shared" si="25"/>
        <v>27852</v>
      </c>
      <c r="E62" s="89"/>
      <c r="F62" s="85">
        <f t="shared" si="26"/>
        <v>0</v>
      </c>
      <c r="G62" s="85"/>
      <c r="H62" s="116"/>
      <c r="I62" s="89">
        <f t="shared" si="46"/>
        <v>2964.8907233691575</v>
      </c>
      <c r="J62" s="85">
        <f t="shared" si="9"/>
        <v>35578.688680429892</v>
      </c>
      <c r="K62" s="85"/>
      <c r="L62" s="116">
        <f t="shared" si="3"/>
        <v>1270.5371479137166</v>
      </c>
      <c r="M62" s="116">
        <f t="shared" si="7"/>
        <v>72205.003523699677</v>
      </c>
      <c r="N62" s="116">
        <f t="shared" si="8"/>
        <v>3239.8161454750093</v>
      </c>
      <c r="O62" s="122">
        <f t="shared" si="30"/>
        <v>2500.4810609073711</v>
      </c>
      <c r="P62" s="121">
        <f t="shared" si="31"/>
        <v>2757.1400811560261</v>
      </c>
      <c r="Q62" s="120">
        <f t="shared" si="38"/>
        <v>3113.8508608622792</v>
      </c>
      <c r="R62" s="119">
        <f t="shared" si="6"/>
        <v>1944.3865170352801</v>
      </c>
    </row>
    <row r="63" spans="1:18" x14ac:dyDescent="0.3">
      <c r="A63">
        <v>57</v>
      </c>
      <c r="B63" s="123">
        <v>82</v>
      </c>
      <c r="C63" s="89">
        <v>2562</v>
      </c>
      <c r="D63" s="85">
        <f t="shared" si="25"/>
        <v>30744</v>
      </c>
      <c r="E63" s="89"/>
      <c r="F63" s="85">
        <f t="shared" si="26"/>
        <v>0</v>
      </c>
      <c r="G63" s="85"/>
      <c r="H63" s="116"/>
      <c r="I63" s="89">
        <f t="shared" ref="I63" si="47">N63</f>
        <v>3337.0106298392598</v>
      </c>
      <c r="J63" s="85">
        <f t="shared" si="9"/>
        <v>40044.127558071115</v>
      </c>
      <c r="K63" s="85"/>
      <c r="L63" s="116">
        <f t="shared" si="3"/>
        <v>1308.6532623511282</v>
      </c>
      <c r="M63" s="116">
        <f t="shared" si="7"/>
        <v>74371.153629410663</v>
      </c>
      <c r="N63" s="116">
        <f t="shared" si="8"/>
        <v>3337.0106298392598</v>
      </c>
      <c r="O63" s="122">
        <f t="shared" si="30"/>
        <v>2562.9930874300553</v>
      </c>
      <c r="P63" s="121">
        <f t="shared" si="31"/>
        <v>2826.0685831849264</v>
      </c>
      <c r="Q63" s="120">
        <f t="shared" si="38"/>
        <v>3191.6971323838361</v>
      </c>
      <c r="R63" s="119">
        <f t="shared" si="6"/>
        <v>1992.9961799611619</v>
      </c>
    </row>
    <row r="64" spans="1:18" x14ac:dyDescent="0.3">
      <c r="A64">
        <v>58</v>
      </c>
      <c r="B64" s="123">
        <v>83</v>
      </c>
      <c r="C64" s="89">
        <v>2562</v>
      </c>
      <c r="D64" s="85">
        <f t="shared" si="25"/>
        <v>30744</v>
      </c>
      <c r="E64" s="89"/>
      <c r="F64" s="85">
        <f t="shared" si="26"/>
        <v>0</v>
      </c>
      <c r="G64" s="85"/>
      <c r="H64" s="116"/>
      <c r="I64" s="89">
        <f t="shared" ref="I64:I66" si="48">I63</f>
        <v>3337.0106298392598</v>
      </c>
      <c r="J64" s="85">
        <f t="shared" si="9"/>
        <v>40044.127558071115</v>
      </c>
      <c r="K64" s="85">
        <f t="shared" ref="K64" si="49">M64</f>
        <v>76602.288238292982</v>
      </c>
      <c r="L64" s="116">
        <f t="shared" si="3"/>
        <v>1347.9128602216622</v>
      </c>
      <c r="M64" s="116">
        <f t="shared" si="7"/>
        <v>76602.288238292982</v>
      </c>
      <c r="N64" s="116">
        <f t="shared" si="8"/>
        <v>3437.1209487344377</v>
      </c>
      <c r="O64" s="122">
        <f t="shared" si="30"/>
        <v>2627.0679146158063</v>
      </c>
      <c r="P64" s="121">
        <f t="shared" si="31"/>
        <v>2896.7202977645493</v>
      </c>
      <c r="Q64" s="120">
        <f t="shared" si="38"/>
        <v>3271.4895606934319</v>
      </c>
      <c r="R64" s="119">
        <f t="shared" si="6"/>
        <v>2042.8210844601908</v>
      </c>
    </row>
    <row r="65" spans="1:18" x14ac:dyDescent="0.3">
      <c r="A65">
        <v>59</v>
      </c>
      <c r="B65" s="123">
        <v>84</v>
      </c>
      <c r="C65" s="89">
        <v>2562</v>
      </c>
      <c r="D65" s="85">
        <f t="shared" si="25"/>
        <v>30744</v>
      </c>
      <c r="E65" s="89"/>
      <c r="F65" s="85">
        <f t="shared" si="26"/>
        <v>0</v>
      </c>
      <c r="G65" s="85"/>
      <c r="H65" s="116"/>
      <c r="I65" s="89">
        <f t="shared" si="48"/>
        <v>3337.0106298392598</v>
      </c>
      <c r="J65" s="85">
        <f t="shared" si="9"/>
        <v>40044.127558071115</v>
      </c>
      <c r="K65" s="85"/>
      <c r="L65" s="116">
        <f t="shared" si="3"/>
        <v>1388.3502460283121</v>
      </c>
      <c r="M65" s="116">
        <f t="shared" si="7"/>
        <v>78900.356885441768</v>
      </c>
      <c r="N65" s="116">
        <f t="shared" si="8"/>
        <v>3540.234577196471</v>
      </c>
      <c r="O65" s="122">
        <f t="shared" si="30"/>
        <v>2692.7446124812013</v>
      </c>
      <c r="P65" s="121">
        <f t="shared" si="31"/>
        <v>2969.1383052086626</v>
      </c>
      <c r="Q65" s="120">
        <f t="shared" si="38"/>
        <v>3353.2767997107676</v>
      </c>
      <c r="R65" s="119">
        <f t="shared" si="6"/>
        <v>2093.8916115716956</v>
      </c>
    </row>
    <row r="66" spans="1:18" x14ac:dyDescent="0.3">
      <c r="A66">
        <v>60</v>
      </c>
      <c r="B66" s="123">
        <v>85</v>
      </c>
      <c r="C66" s="89">
        <v>2562</v>
      </c>
      <c r="D66" s="85">
        <f t="shared" si="25"/>
        <v>30744</v>
      </c>
      <c r="E66" s="89"/>
      <c r="F66" s="85">
        <f t="shared" si="26"/>
        <v>0</v>
      </c>
      <c r="G66" s="85"/>
      <c r="H66" s="116"/>
      <c r="I66" s="89">
        <f t="shared" si="48"/>
        <v>3337.0106298392598</v>
      </c>
      <c r="J66" s="85">
        <f t="shared" si="9"/>
        <v>40044.127558071115</v>
      </c>
      <c r="K66" s="85"/>
      <c r="L66" s="116">
        <f t="shared" si="3"/>
        <v>1430.0007534091615</v>
      </c>
      <c r="M66" s="116">
        <f t="shared" si="7"/>
        <v>81267.36759200503</v>
      </c>
      <c r="N66" s="116">
        <f t="shared" si="8"/>
        <v>3646.441614512365</v>
      </c>
      <c r="O66" s="122"/>
      <c r="P66" s="121"/>
      <c r="Q66" s="120">
        <f t="shared" si="38"/>
        <v>3437.1087197035363</v>
      </c>
      <c r="R66" s="119">
        <f t="shared" si="6"/>
        <v>2146.2389018609879</v>
      </c>
    </row>
    <row r="67" spans="1:18" x14ac:dyDescent="0.3">
      <c r="A67" s="107" t="s">
        <v>138</v>
      </c>
      <c r="B67" s="118">
        <f>B66-B7</f>
        <v>59</v>
      </c>
      <c r="C67" s="117"/>
      <c r="D67" s="82"/>
      <c r="E67" s="117"/>
      <c r="F67" s="85">
        <f>SUM(F7:F66)</f>
        <v>516180</v>
      </c>
      <c r="G67" s="85">
        <f>SUM(G6:G66)</f>
        <v>8959</v>
      </c>
      <c r="H67" s="116">
        <f>SUM(R7:R67)</f>
        <v>70195.689850708251</v>
      </c>
      <c r="I67" s="89"/>
      <c r="J67" s="85">
        <f>SUM(J7:J66)</f>
        <v>1201471.2073560422</v>
      </c>
      <c r="K67" s="85"/>
      <c r="L67" s="116">
        <f>SUM(L7:L66)</f>
        <v>40763.359200381186</v>
      </c>
      <c r="M67" s="116"/>
      <c r="N67" s="116"/>
      <c r="O67" s="115"/>
      <c r="P67" s="114"/>
      <c r="Q67" s="113"/>
      <c r="R67" s="119">
        <f t="shared" si="6"/>
        <v>2199.8948744075124</v>
      </c>
    </row>
    <row r="68" spans="1:18" ht="36.6" x14ac:dyDescent="0.7">
      <c r="B68" s="107" t="s">
        <v>137</v>
      </c>
      <c r="C68" s="111" t="s">
        <v>136</v>
      </c>
      <c r="D68" s="132">
        <f>SUM(D7:D66)</f>
        <v>1010448</v>
      </c>
      <c r="E68" s="111"/>
      <c r="F68" s="110" t="s">
        <v>135</v>
      </c>
      <c r="G68" s="133">
        <f>F67-G67+H67</f>
        <v>577416.68985070824</v>
      </c>
      <c r="H68" s="109"/>
      <c r="I68" s="40"/>
      <c r="J68" s="133">
        <f>J67+L67</f>
        <v>1242234.5665564234</v>
      </c>
      <c r="K68" s="40"/>
      <c r="L68" s="40"/>
      <c r="M68" s="40"/>
      <c r="N68" s="40"/>
    </row>
    <row r="69" spans="1:18" x14ac:dyDescent="0.3">
      <c r="L69" t="s">
        <v>163</v>
      </c>
    </row>
    <row r="70" spans="1:18" x14ac:dyDescent="0.3">
      <c r="B70" s="13"/>
      <c r="C70" s="13"/>
      <c r="D70" s="13"/>
      <c r="E70" s="107" t="s">
        <v>146</v>
      </c>
      <c r="F70" s="108">
        <f>D68-G68</f>
        <v>433031.31014929176</v>
      </c>
    </row>
    <row r="71" spans="1:18" x14ac:dyDescent="0.3">
      <c r="E71" s="107" t="s">
        <v>195</v>
      </c>
      <c r="F71" s="106">
        <f>F70/G68</f>
        <v>0.74994595369464034</v>
      </c>
      <c r="G71" s="13" t="s">
        <v>134</v>
      </c>
    </row>
    <row r="72" spans="1:18" x14ac:dyDescent="0.3">
      <c r="E72" s="13" t="s">
        <v>196</v>
      </c>
      <c r="F72" s="106">
        <f>(J68-G68)/G68</f>
        <v>1.1513658825442068</v>
      </c>
      <c r="G72" s="76">
        <f>H67*0.66</f>
        <v>46329.15530146745</v>
      </c>
    </row>
  </sheetData>
  <mergeCells count="2">
    <mergeCell ref="C5:D5"/>
    <mergeCell ref="E5:H5"/>
  </mergeCells>
  <pageMargins left="0.7" right="0.7" top="0.75" bottom="0.75" header="0.3" footer="0.3"/>
  <pageSetup orientation="portrait" horizontalDpi="4294967293"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topLeftCell="A9" workbookViewId="0">
      <selection activeCell="E41" sqref="E41"/>
    </sheetView>
  </sheetViews>
  <sheetFormatPr baseColWidth="10" defaultRowHeight="14.4" x14ac:dyDescent="0.3"/>
  <cols>
    <col min="4" max="4" width="18.6640625" bestFit="1" customWidth="1"/>
    <col min="5" max="6" width="13.109375" bestFit="1" customWidth="1"/>
    <col min="7" max="7" width="18.6640625" bestFit="1" customWidth="1"/>
    <col min="8" max="8" width="15.6640625" bestFit="1" customWidth="1"/>
    <col min="9" max="9" width="14.5546875" bestFit="1" customWidth="1"/>
    <col min="10" max="10" width="6" bestFit="1" customWidth="1"/>
    <col min="11" max="11" width="10.5546875" bestFit="1" customWidth="1"/>
    <col min="13" max="13" width="13.44140625" customWidth="1"/>
    <col min="14" max="14" width="18.6640625" bestFit="1" customWidth="1"/>
    <col min="15" max="15" width="15.6640625" bestFit="1" customWidth="1"/>
    <col min="16" max="16" width="15" bestFit="1" customWidth="1"/>
    <col min="17" max="18" width="13.44140625" customWidth="1"/>
    <col min="19" max="19" width="2.44140625" customWidth="1"/>
    <col min="20" max="20" width="14.44140625" bestFit="1" customWidth="1"/>
    <col min="21" max="21" width="12.88671875" bestFit="1" customWidth="1"/>
  </cols>
  <sheetData>
    <row r="1" spans="1:10" ht="15" x14ac:dyDescent="0.25">
      <c r="A1">
        <v>5145</v>
      </c>
      <c r="B1" t="s">
        <v>133</v>
      </c>
    </row>
    <row r="2" spans="1:10" ht="15" x14ac:dyDescent="0.25">
      <c r="A2">
        <v>19</v>
      </c>
      <c r="B2">
        <f>20/(A2/100*A1)</f>
        <v>2.0459311544166539E-2</v>
      </c>
      <c r="J2">
        <v>3</v>
      </c>
    </row>
    <row r="3" spans="1:10" ht="15" x14ac:dyDescent="0.25">
      <c r="A3">
        <v>30</v>
      </c>
      <c r="B3">
        <f>A3/B2</f>
        <v>1466.325</v>
      </c>
      <c r="J3">
        <v>100</v>
      </c>
    </row>
    <row r="5" spans="1:10" ht="15" x14ac:dyDescent="0.25">
      <c r="A5">
        <f>A1*0.19</f>
        <v>977.55000000000007</v>
      </c>
    </row>
    <row r="6" spans="1:10" ht="15" x14ac:dyDescent="0.25">
      <c r="A6">
        <f>30/A5</f>
        <v>3.0688967316249805E-2</v>
      </c>
    </row>
    <row r="9" spans="1:10" ht="15" x14ac:dyDescent="0.25">
      <c r="A9">
        <v>15000</v>
      </c>
      <c r="B9" t="s">
        <v>132</v>
      </c>
    </row>
    <row r="10" spans="1:10" ht="15" x14ac:dyDescent="0.25">
      <c r="A10">
        <v>5000</v>
      </c>
      <c r="B10" t="s">
        <v>131</v>
      </c>
    </row>
    <row r="11" spans="1:10" ht="15" x14ac:dyDescent="0.25">
      <c r="A11">
        <v>20000</v>
      </c>
      <c r="B11" t="s">
        <v>130</v>
      </c>
    </row>
    <row r="12" spans="1:10" ht="15" x14ac:dyDescent="0.25">
      <c r="A12" s="104" t="s">
        <v>129</v>
      </c>
      <c r="B12" t="s">
        <v>128</v>
      </c>
    </row>
    <row r="13" spans="1:10" ht="15" x14ac:dyDescent="0.25">
      <c r="A13" t="s">
        <v>127</v>
      </c>
      <c r="B13" t="s">
        <v>126</v>
      </c>
    </row>
    <row r="14" spans="1:10" ht="15" x14ac:dyDescent="0.25">
      <c r="A14" t="s">
        <v>125</v>
      </c>
    </row>
    <row r="15" spans="1:10" ht="15" x14ac:dyDescent="0.25">
      <c r="A15" t="s">
        <v>124</v>
      </c>
    </row>
    <row r="16" spans="1:10" x14ac:dyDescent="0.3">
      <c r="A16">
        <v>0.8</v>
      </c>
      <c r="B16" t="s">
        <v>123</v>
      </c>
    </row>
    <row r="18" spans="1:22" x14ac:dyDescent="0.3">
      <c r="A18" t="s">
        <v>122</v>
      </c>
      <c r="E18" t="s">
        <v>121</v>
      </c>
      <c r="J18">
        <v>1</v>
      </c>
      <c r="K18" s="103">
        <f>K19*J18/J19</f>
        <v>1.8759333333333336E-2</v>
      </c>
    </row>
    <row r="19" spans="1:22" x14ac:dyDescent="0.3">
      <c r="A19">
        <v>0.14810000000000001</v>
      </c>
      <c r="B19" t="s">
        <v>120</v>
      </c>
      <c r="E19">
        <v>19</v>
      </c>
      <c r="J19">
        <v>150</v>
      </c>
      <c r="K19" s="1">
        <f>E19*A19</f>
        <v>2.8139000000000003</v>
      </c>
    </row>
    <row r="20" spans="1:22" ht="15" thickBot="1" x14ac:dyDescent="0.35">
      <c r="A20" t="s">
        <v>119</v>
      </c>
    </row>
    <row r="21" spans="1:22" x14ac:dyDescent="0.3">
      <c r="C21" s="102"/>
      <c r="D21" s="100"/>
      <c r="E21" s="101" t="s">
        <v>118</v>
      </c>
      <c r="F21" s="100"/>
      <c r="G21" s="100"/>
      <c r="H21" s="100"/>
      <c r="I21" s="99"/>
      <c r="J21" s="102"/>
      <c r="K21" s="100"/>
      <c r="L21" s="100"/>
      <c r="M21" s="101" t="s">
        <v>117</v>
      </c>
      <c r="N21" s="101"/>
      <c r="O21" s="100"/>
      <c r="P21" s="99"/>
      <c r="Q21" s="82"/>
      <c r="R21" s="13" t="s">
        <v>116</v>
      </c>
      <c r="S21" s="82"/>
    </row>
    <row r="22" spans="1:22" x14ac:dyDescent="0.3">
      <c r="C22" s="3" t="s">
        <v>115</v>
      </c>
      <c r="D22" s="82" t="s">
        <v>114</v>
      </c>
      <c r="E22" s="97" t="s">
        <v>113</v>
      </c>
      <c r="F22" s="96" t="s">
        <v>108</v>
      </c>
      <c r="G22" s="95" t="s">
        <v>107</v>
      </c>
      <c r="H22" s="96" t="s">
        <v>106</v>
      </c>
      <c r="I22" s="98" t="s">
        <v>112</v>
      </c>
      <c r="J22" s="3" t="s">
        <v>111</v>
      </c>
      <c r="K22" s="82" t="s">
        <v>110</v>
      </c>
      <c r="L22" s="97" t="s">
        <v>109</v>
      </c>
      <c r="M22" s="96" t="s">
        <v>108</v>
      </c>
      <c r="N22" s="95" t="s">
        <v>107</v>
      </c>
      <c r="O22" s="94" t="s">
        <v>106</v>
      </c>
      <c r="P22" s="93" t="s">
        <v>105</v>
      </c>
      <c r="Q22" s="82"/>
      <c r="R22" s="92" t="s">
        <v>104</v>
      </c>
      <c r="S22" s="82"/>
      <c r="T22" t="s">
        <v>103</v>
      </c>
      <c r="U22" t="s">
        <v>102</v>
      </c>
    </row>
    <row r="23" spans="1:22" x14ac:dyDescent="0.3">
      <c r="A23" t="s">
        <v>101</v>
      </c>
      <c r="B23">
        <v>-6</v>
      </c>
      <c r="C23" s="90">
        <v>0.8</v>
      </c>
      <c r="D23" s="82">
        <v>80</v>
      </c>
      <c r="E23" s="89">
        <f>K19</f>
        <v>2.8139000000000003</v>
      </c>
      <c r="F23" s="85">
        <f>(7*10/100)*$A$16</f>
        <v>0.55999999999999994</v>
      </c>
      <c r="G23" s="87">
        <f t="shared" ref="G23:G34" si="0">E23+F23</f>
        <v>3.3739000000000003</v>
      </c>
      <c r="H23" s="85">
        <f t="shared" ref="H23:H34" si="1">E23*U23</f>
        <v>46.898333333333341</v>
      </c>
      <c r="I23" s="86">
        <f>10*7/100*A16*U23</f>
        <v>9.3333333333333321</v>
      </c>
      <c r="J23" s="3">
        <v>40</v>
      </c>
      <c r="K23" s="82">
        <f t="shared" ref="K23:K34" si="2">100-J23</f>
        <v>60</v>
      </c>
      <c r="L23" s="88">
        <f t="shared" ref="L23:L34" si="3">(J23*$K$18)</f>
        <v>0.75037333333333345</v>
      </c>
      <c r="M23" s="85">
        <f>(K23*8/100)*$A$16</f>
        <v>3.84</v>
      </c>
      <c r="N23" s="87">
        <f t="shared" ref="N23:N34" si="4">SUM(L23:M23)</f>
        <v>4.590373333333333</v>
      </c>
      <c r="O23" s="85">
        <f t="shared" ref="O23:O34" si="5">L23*U23</f>
        <v>12.506222222222226</v>
      </c>
      <c r="P23" s="86">
        <f t="shared" ref="P23:P34" si="6">M23*U23</f>
        <v>64</v>
      </c>
      <c r="Q23" s="85"/>
      <c r="R23" s="1">
        <f>10*T23/100</f>
        <v>166.66666666666669</v>
      </c>
      <c r="S23" s="85"/>
      <c r="T23" s="75">
        <f t="shared" ref="T23:T34" si="7">20000/12</f>
        <v>1666.6666666666667</v>
      </c>
      <c r="U23" s="84">
        <f t="shared" ref="U23:U35" si="8">T23/100</f>
        <v>16.666666666666668</v>
      </c>
      <c r="V23" s="1"/>
    </row>
    <row r="24" spans="1:22" x14ac:dyDescent="0.3">
      <c r="A24" t="s">
        <v>100</v>
      </c>
      <c r="B24">
        <v>-6</v>
      </c>
      <c r="C24" s="90">
        <v>0.8</v>
      </c>
      <c r="D24" s="82">
        <v>80</v>
      </c>
      <c r="E24" s="89">
        <f>K19</f>
        <v>2.8139000000000003</v>
      </c>
      <c r="F24" s="85">
        <f>(7*10/100)*$A$16</f>
        <v>0.55999999999999994</v>
      </c>
      <c r="G24" s="87">
        <f t="shared" si="0"/>
        <v>3.3739000000000003</v>
      </c>
      <c r="H24" s="85">
        <f t="shared" si="1"/>
        <v>46.898333333333341</v>
      </c>
      <c r="I24" s="86">
        <f>7*10/100*$A$16*U24</f>
        <v>9.3333333333333321</v>
      </c>
      <c r="J24" s="3">
        <v>40</v>
      </c>
      <c r="K24" s="82">
        <f t="shared" si="2"/>
        <v>60</v>
      </c>
      <c r="L24" s="88">
        <f t="shared" si="3"/>
        <v>0.75037333333333345</v>
      </c>
      <c r="M24" s="85">
        <f>(K24*8/100)*$A$16</f>
        <v>3.84</v>
      </c>
      <c r="N24" s="87">
        <f t="shared" si="4"/>
        <v>4.590373333333333</v>
      </c>
      <c r="O24" s="85">
        <f t="shared" si="5"/>
        <v>12.506222222222226</v>
      </c>
      <c r="P24" s="86">
        <f t="shared" si="6"/>
        <v>64</v>
      </c>
      <c r="Q24" s="85"/>
      <c r="R24" s="1">
        <f>10*T24/100</f>
        <v>166.66666666666669</v>
      </c>
      <c r="S24" s="85"/>
      <c r="T24" s="75">
        <f t="shared" si="7"/>
        <v>1666.6666666666667</v>
      </c>
      <c r="U24" s="84">
        <f t="shared" si="8"/>
        <v>16.666666666666668</v>
      </c>
      <c r="V24" s="1"/>
    </row>
    <row r="25" spans="1:22" x14ac:dyDescent="0.3">
      <c r="A25" t="s">
        <v>99</v>
      </c>
      <c r="B25">
        <v>-2</v>
      </c>
      <c r="C25" s="91">
        <v>1</v>
      </c>
      <c r="D25" s="82">
        <v>100</v>
      </c>
      <c r="E25" s="89">
        <f t="shared" ref="E25:E33" si="9">100*$K$18</f>
        <v>1.8759333333333337</v>
      </c>
      <c r="F25" s="85"/>
      <c r="G25" s="87">
        <f t="shared" si="0"/>
        <v>1.8759333333333337</v>
      </c>
      <c r="H25" s="85">
        <f t="shared" si="1"/>
        <v>31.265555555555565</v>
      </c>
      <c r="I25" s="86"/>
      <c r="J25" s="3">
        <v>50</v>
      </c>
      <c r="K25" s="82">
        <f t="shared" si="2"/>
        <v>50</v>
      </c>
      <c r="L25" s="88">
        <f t="shared" si="3"/>
        <v>0.93796666666666684</v>
      </c>
      <c r="M25" s="85">
        <f t="shared" ref="M25:M33" si="10">(K25*7/100)*$A$16</f>
        <v>2.8000000000000003</v>
      </c>
      <c r="N25" s="87">
        <f t="shared" si="4"/>
        <v>3.7379666666666669</v>
      </c>
      <c r="O25" s="85">
        <f t="shared" si="5"/>
        <v>15.632777777777783</v>
      </c>
      <c r="P25" s="86">
        <f t="shared" si="6"/>
        <v>46.666666666666671</v>
      </c>
      <c r="Q25" s="85"/>
      <c r="R25" s="1">
        <f>10*T25/100</f>
        <v>166.66666666666669</v>
      </c>
      <c r="S25" s="85"/>
      <c r="T25" s="75">
        <f t="shared" si="7"/>
        <v>1666.6666666666667</v>
      </c>
      <c r="U25" s="84">
        <f t="shared" si="8"/>
        <v>16.666666666666668</v>
      </c>
      <c r="V25" s="1"/>
    </row>
    <row r="26" spans="1:22" x14ac:dyDescent="0.3">
      <c r="A26" t="s">
        <v>98</v>
      </c>
      <c r="B26">
        <v>4</v>
      </c>
      <c r="C26" s="91">
        <v>1</v>
      </c>
      <c r="D26" s="82">
        <v>120</v>
      </c>
      <c r="E26" s="89">
        <f t="shared" si="9"/>
        <v>1.8759333333333337</v>
      </c>
      <c r="F26" s="85"/>
      <c r="G26" s="87">
        <f t="shared" si="0"/>
        <v>1.8759333333333337</v>
      </c>
      <c r="H26" s="85">
        <f t="shared" si="1"/>
        <v>31.265555555555565</v>
      </c>
      <c r="I26" s="86"/>
      <c r="J26" s="3">
        <v>50</v>
      </c>
      <c r="K26" s="82">
        <f t="shared" si="2"/>
        <v>50</v>
      </c>
      <c r="L26" s="88">
        <f t="shared" si="3"/>
        <v>0.93796666666666684</v>
      </c>
      <c r="M26" s="85">
        <f t="shared" si="10"/>
        <v>2.8000000000000003</v>
      </c>
      <c r="N26" s="87">
        <f t="shared" si="4"/>
        <v>3.7379666666666669</v>
      </c>
      <c r="O26" s="85">
        <f t="shared" si="5"/>
        <v>15.632777777777783</v>
      </c>
      <c r="P26" s="86">
        <f t="shared" si="6"/>
        <v>46.666666666666671</v>
      </c>
      <c r="Q26" s="85"/>
      <c r="R26" s="1">
        <f>10*T26/100</f>
        <v>166.66666666666669</v>
      </c>
      <c r="S26" s="85"/>
      <c r="T26" s="75">
        <f t="shared" si="7"/>
        <v>1666.6666666666667</v>
      </c>
      <c r="U26" s="84">
        <f t="shared" si="8"/>
        <v>16.666666666666668</v>
      </c>
      <c r="V26" s="1"/>
    </row>
    <row r="27" spans="1:22" x14ac:dyDescent="0.3">
      <c r="A27" t="s">
        <v>97</v>
      </c>
      <c r="B27" t="s">
        <v>91</v>
      </c>
      <c r="C27" s="91">
        <v>1</v>
      </c>
      <c r="D27" s="82">
        <v>130</v>
      </c>
      <c r="E27" s="89">
        <f t="shared" si="9"/>
        <v>1.8759333333333337</v>
      </c>
      <c r="F27" s="85"/>
      <c r="G27" s="87">
        <f t="shared" si="0"/>
        <v>1.8759333333333337</v>
      </c>
      <c r="H27" s="85">
        <f t="shared" si="1"/>
        <v>31.265555555555565</v>
      </c>
      <c r="I27" s="86"/>
      <c r="J27" s="3">
        <v>70</v>
      </c>
      <c r="K27" s="82">
        <f t="shared" si="2"/>
        <v>30</v>
      </c>
      <c r="L27" s="88">
        <f t="shared" si="3"/>
        <v>1.3131533333333336</v>
      </c>
      <c r="M27" s="85">
        <f t="shared" si="10"/>
        <v>1.6800000000000002</v>
      </c>
      <c r="N27" s="87">
        <f t="shared" si="4"/>
        <v>2.9931533333333338</v>
      </c>
      <c r="O27" s="85">
        <f t="shared" si="5"/>
        <v>21.885888888888896</v>
      </c>
      <c r="P27" s="86">
        <f t="shared" si="6"/>
        <v>28.000000000000004</v>
      </c>
      <c r="Q27" s="85"/>
      <c r="R27" s="1">
        <f t="shared" ref="R27:R32" si="11">9*T27/100</f>
        <v>150</v>
      </c>
      <c r="S27" s="85"/>
      <c r="T27" s="75">
        <f t="shared" si="7"/>
        <v>1666.6666666666667</v>
      </c>
      <c r="U27" s="84">
        <f t="shared" si="8"/>
        <v>16.666666666666668</v>
      </c>
      <c r="V27" s="1"/>
    </row>
    <row r="28" spans="1:22" x14ac:dyDescent="0.3">
      <c r="A28" t="s">
        <v>96</v>
      </c>
      <c r="B28" t="s">
        <v>91</v>
      </c>
      <c r="C28" s="91">
        <v>1</v>
      </c>
      <c r="D28" s="82">
        <v>140</v>
      </c>
      <c r="E28" s="89">
        <f t="shared" si="9"/>
        <v>1.8759333333333337</v>
      </c>
      <c r="F28" s="85"/>
      <c r="G28" s="87">
        <f t="shared" si="0"/>
        <v>1.8759333333333337</v>
      </c>
      <c r="H28" s="85">
        <f t="shared" si="1"/>
        <v>31.265555555555565</v>
      </c>
      <c r="I28" s="86"/>
      <c r="J28" s="3">
        <v>70</v>
      </c>
      <c r="K28" s="82">
        <f t="shared" si="2"/>
        <v>30</v>
      </c>
      <c r="L28" s="88">
        <f t="shared" si="3"/>
        <v>1.3131533333333336</v>
      </c>
      <c r="M28" s="85">
        <f t="shared" si="10"/>
        <v>1.6800000000000002</v>
      </c>
      <c r="N28" s="87">
        <f t="shared" si="4"/>
        <v>2.9931533333333338</v>
      </c>
      <c r="O28" s="85">
        <f t="shared" si="5"/>
        <v>21.885888888888896</v>
      </c>
      <c r="P28" s="86">
        <f t="shared" si="6"/>
        <v>28.000000000000004</v>
      </c>
      <c r="Q28" s="85"/>
      <c r="R28" s="1">
        <f t="shared" si="11"/>
        <v>150</v>
      </c>
      <c r="S28" s="85"/>
      <c r="T28" s="75">
        <f t="shared" si="7"/>
        <v>1666.6666666666667</v>
      </c>
      <c r="U28" s="84">
        <f t="shared" si="8"/>
        <v>16.666666666666668</v>
      </c>
      <c r="V28" s="1"/>
    </row>
    <row r="29" spans="1:22" x14ac:dyDescent="0.3">
      <c r="A29" t="s">
        <v>95</v>
      </c>
      <c r="B29" t="s">
        <v>91</v>
      </c>
      <c r="C29" s="91">
        <v>1</v>
      </c>
      <c r="D29" s="82">
        <v>150</v>
      </c>
      <c r="E29" s="89">
        <f t="shared" si="9"/>
        <v>1.8759333333333337</v>
      </c>
      <c r="F29" s="85"/>
      <c r="G29" s="87">
        <f t="shared" si="0"/>
        <v>1.8759333333333337</v>
      </c>
      <c r="H29" s="85">
        <f t="shared" si="1"/>
        <v>31.265555555555565</v>
      </c>
      <c r="I29" s="86"/>
      <c r="J29" s="3">
        <v>70</v>
      </c>
      <c r="K29" s="82">
        <f t="shared" si="2"/>
        <v>30</v>
      </c>
      <c r="L29" s="88">
        <f t="shared" si="3"/>
        <v>1.3131533333333336</v>
      </c>
      <c r="M29" s="85">
        <f t="shared" si="10"/>
        <v>1.6800000000000002</v>
      </c>
      <c r="N29" s="87">
        <f t="shared" si="4"/>
        <v>2.9931533333333338</v>
      </c>
      <c r="O29" s="85">
        <f t="shared" si="5"/>
        <v>21.885888888888896</v>
      </c>
      <c r="P29" s="86">
        <f t="shared" si="6"/>
        <v>28.000000000000004</v>
      </c>
      <c r="Q29" s="85"/>
      <c r="R29" s="1">
        <f t="shared" si="11"/>
        <v>150</v>
      </c>
      <c r="S29" s="85"/>
      <c r="T29" s="75">
        <f t="shared" si="7"/>
        <v>1666.6666666666667</v>
      </c>
      <c r="U29" s="84">
        <f t="shared" si="8"/>
        <v>16.666666666666668</v>
      </c>
      <c r="V29" s="1"/>
    </row>
    <row r="30" spans="1:22" x14ac:dyDescent="0.3">
      <c r="A30" t="s">
        <v>94</v>
      </c>
      <c r="B30" t="s">
        <v>91</v>
      </c>
      <c r="C30" s="91">
        <v>1</v>
      </c>
      <c r="D30" s="82">
        <v>150</v>
      </c>
      <c r="E30" s="89">
        <f t="shared" si="9"/>
        <v>1.8759333333333337</v>
      </c>
      <c r="F30" s="85"/>
      <c r="G30" s="87">
        <f t="shared" si="0"/>
        <v>1.8759333333333337</v>
      </c>
      <c r="H30" s="85">
        <f t="shared" si="1"/>
        <v>31.265555555555565</v>
      </c>
      <c r="I30" s="86"/>
      <c r="J30" s="3">
        <v>70</v>
      </c>
      <c r="K30" s="82">
        <f t="shared" si="2"/>
        <v>30</v>
      </c>
      <c r="L30" s="88">
        <f t="shared" si="3"/>
        <v>1.3131533333333336</v>
      </c>
      <c r="M30" s="85">
        <f t="shared" si="10"/>
        <v>1.6800000000000002</v>
      </c>
      <c r="N30" s="87">
        <f t="shared" si="4"/>
        <v>2.9931533333333338</v>
      </c>
      <c r="O30" s="85">
        <f t="shared" si="5"/>
        <v>21.885888888888896</v>
      </c>
      <c r="P30" s="86">
        <f t="shared" si="6"/>
        <v>28.000000000000004</v>
      </c>
      <c r="Q30" s="85"/>
      <c r="R30" s="1">
        <f t="shared" si="11"/>
        <v>150</v>
      </c>
      <c r="S30" s="85"/>
      <c r="T30" s="75">
        <f t="shared" si="7"/>
        <v>1666.6666666666667</v>
      </c>
      <c r="U30" s="84">
        <f t="shared" si="8"/>
        <v>16.666666666666668</v>
      </c>
      <c r="V30" s="1"/>
    </row>
    <row r="31" spans="1:22" x14ac:dyDescent="0.3">
      <c r="A31" t="s">
        <v>93</v>
      </c>
      <c r="B31" t="s">
        <v>91</v>
      </c>
      <c r="C31" s="91">
        <v>1</v>
      </c>
      <c r="D31" s="82">
        <v>150</v>
      </c>
      <c r="E31" s="89">
        <f t="shared" si="9"/>
        <v>1.8759333333333337</v>
      </c>
      <c r="F31" s="85"/>
      <c r="G31" s="87">
        <f t="shared" si="0"/>
        <v>1.8759333333333337</v>
      </c>
      <c r="H31" s="85">
        <f t="shared" si="1"/>
        <v>31.265555555555565</v>
      </c>
      <c r="I31" s="86"/>
      <c r="J31" s="3">
        <v>70</v>
      </c>
      <c r="K31" s="82">
        <f t="shared" si="2"/>
        <v>30</v>
      </c>
      <c r="L31" s="88">
        <f t="shared" si="3"/>
        <v>1.3131533333333336</v>
      </c>
      <c r="M31" s="85">
        <f t="shared" si="10"/>
        <v>1.6800000000000002</v>
      </c>
      <c r="N31" s="87">
        <f t="shared" si="4"/>
        <v>2.9931533333333338</v>
      </c>
      <c r="O31" s="85">
        <f t="shared" si="5"/>
        <v>21.885888888888896</v>
      </c>
      <c r="P31" s="86">
        <f t="shared" si="6"/>
        <v>28.000000000000004</v>
      </c>
      <c r="Q31" s="85"/>
      <c r="R31" s="1">
        <f t="shared" si="11"/>
        <v>150</v>
      </c>
      <c r="S31" s="85"/>
      <c r="T31" s="75">
        <f t="shared" si="7"/>
        <v>1666.6666666666667</v>
      </c>
      <c r="U31" s="84">
        <f t="shared" si="8"/>
        <v>16.666666666666668</v>
      </c>
      <c r="V31" s="1"/>
    </row>
    <row r="32" spans="1:22" x14ac:dyDescent="0.3">
      <c r="A32" t="s">
        <v>92</v>
      </c>
      <c r="B32" t="s">
        <v>91</v>
      </c>
      <c r="C32" s="91">
        <v>1</v>
      </c>
      <c r="D32" s="82">
        <v>140</v>
      </c>
      <c r="E32" s="89">
        <f t="shared" si="9"/>
        <v>1.8759333333333337</v>
      </c>
      <c r="F32" s="85"/>
      <c r="G32" s="87">
        <f t="shared" si="0"/>
        <v>1.8759333333333337</v>
      </c>
      <c r="H32" s="85">
        <f t="shared" si="1"/>
        <v>31.265555555555565</v>
      </c>
      <c r="I32" s="86"/>
      <c r="J32" s="3">
        <v>60</v>
      </c>
      <c r="K32" s="82">
        <f t="shared" si="2"/>
        <v>40</v>
      </c>
      <c r="L32" s="88">
        <f t="shared" si="3"/>
        <v>1.1255600000000001</v>
      </c>
      <c r="M32" s="85">
        <f t="shared" si="10"/>
        <v>2.2399999999999998</v>
      </c>
      <c r="N32" s="87">
        <f t="shared" si="4"/>
        <v>3.3655599999999999</v>
      </c>
      <c r="O32" s="85">
        <f t="shared" si="5"/>
        <v>18.759333333333338</v>
      </c>
      <c r="P32" s="86">
        <f t="shared" si="6"/>
        <v>37.333333333333329</v>
      </c>
      <c r="Q32" s="85"/>
      <c r="R32" s="1">
        <f t="shared" si="11"/>
        <v>150</v>
      </c>
      <c r="S32" s="85"/>
      <c r="T32" s="75">
        <f t="shared" si="7"/>
        <v>1666.6666666666667</v>
      </c>
      <c r="U32" s="84">
        <f t="shared" si="8"/>
        <v>16.666666666666668</v>
      </c>
      <c r="V32" s="1"/>
    </row>
    <row r="33" spans="1:22" x14ac:dyDescent="0.3">
      <c r="A33" t="s">
        <v>90</v>
      </c>
      <c r="B33">
        <v>-3</v>
      </c>
      <c r="C33" s="91">
        <v>1</v>
      </c>
      <c r="D33" s="82">
        <v>120</v>
      </c>
      <c r="E33" s="89">
        <f t="shared" si="9"/>
        <v>1.8759333333333337</v>
      </c>
      <c r="F33" s="85"/>
      <c r="G33" s="87">
        <f t="shared" si="0"/>
        <v>1.8759333333333337</v>
      </c>
      <c r="H33" s="85">
        <f t="shared" si="1"/>
        <v>31.265555555555565</v>
      </c>
      <c r="I33" s="86"/>
      <c r="J33" s="3">
        <v>50</v>
      </c>
      <c r="K33" s="82">
        <f t="shared" si="2"/>
        <v>50</v>
      </c>
      <c r="L33" s="88">
        <f t="shared" si="3"/>
        <v>0.93796666666666684</v>
      </c>
      <c r="M33" s="85">
        <f t="shared" si="10"/>
        <v>2.8000000000000003</v>
      </c>
      <c r="N33" s="87">
        <f t="shared" si="4"/>
        <v>3.7379666666666669</v>
      </c>
      <c r="O33" s="85">
        <f t="shared" si="5"/>
        <v>15.632777777777783</v>
      </c>
      <c r="P33" s="86">
        <f t="shared" si="6"/>
        <v>46.666666666666671</v>
      </c>
      <c r="Q33" s="85"/>
      <c r="R33" s="1">
        <f>10*T33/100</f>
        <v>166.66666666666669</v>
      </c>
      <c r="S33" s="85"/>
      <c r="T33" s="75">
        <f t="shared" si="7"/>
        <v>1666.6666666666667</v>
      </c>
      <c r="U33" s="84">
        <f t="shared" si="8"/>
        <v>16.666666666666668</v>
      </c>
      <c r="V33" s="1"/>
    </row>
    <row r="34" spans="1:22" x14ac:dyDescent="0.3">
      <c r="A34" t="s">
        <v>89</v>
      </c>
      <c r="B34">
        <v>-7</v>
      </c>
      <c r="C34" s="90">
        <v>0.8</v>
      </c>
      <c r="D34" s="82">
        <v>80</v>
      </c>
      <c r="E34" s="89">
        <f>K19</f>
        <v>2.8139000000000003</v>
      </c>
      <c r="F34" s="85">
        <f>(7*10/100)*$A$16</f>
        <v>0.55999999999999994</v>
      </c>
      <c r="G34" s="87">
        <f t="shared" si="0"/>
        <v>3.3739000000000003</v>
      </c>
      <c r="H34" s="85">
        <f t="shared" si="1"/>
        <v>46.898333333333341</v>
      </c>
      <c r="I34" s="86">
        <f>7*10/100*$A$16*U34</f>
        <v>9.3333333333333321</v>
      </c>
      <c r="J34" s="3">
        <v>40</v>
      </c>
      <c r="K34" s="82">
        <f t="shared" si="2"/>
        <v>60</v>
      </c>
      <c r="L34" s="88">
        <f t="shared" si="3"/>
        <v>0.75037333333333345</v>
      </c>
      <c r="M34" s="85">
        <f>(K34*8/100)*$A$16</f>
        <v>3.84</v>
      </c>
      <c r="N34" s="87">
        <f t="shared" si="4"/>
        <v>4.590373333333333</v>
      </c>
      <c r="O34" s="85">
        <f t="shared" si="5"/>
        <v>12.506222222222226</v>
      </c>
      <c r="P34" s="86">
        <f t="shared" si="6"/>
        <v>64</v>
      </c>
      <c r="Q34" s="85"/>
      <c r="R34" s="1">
        <f>10*T34/100</f>
        <v>166.66666666666669</v>
      </c>
      <c r="S34" s="85"/>
      <c r="T34" s="75">
        <f t="shared" si="7"/>
        <v>1666.6666666666667</v>
      </c>
      <c r="U34" s="84">
        <f t="shared" si="8"/>
        <v>16.666666666666668</v>
      </c>
      <c r="V34" s="1"/>
    </row>
    <row r="35" spans="1:22" x14ac:dyDescent="0.3">
      <c r="C35" s="3"/>
      <c r="D35" s="82"/>
      <c r="E35" s="61"/>
      <c r="F35" s="78"/>
      <c r="G35" s="83"/>
      <c r="H35" s="78">
        <f>SUM(H23:H34)</f>
        <v>422.08500000000015</v>
      </c>
      <c r="I35" s="77">
        <f>SUM(I23:I34)</f>
        <v>27.999999999999996</v>
      </c>
      <c r="J35" s="3"/>
      <c r="K35" s="82"/>
      <c r="L35" s="81"/>
      <c r="M35" s="80"/>
      <c r="N35" s="79"/>
      <c r="O35" s="78">
        <f>SUM(O23:O34)</f>
        <v>212.60577777777783</v>
      </c>
      <c r="P35" s="77">
        <f>SUM(P23:P34)</f>
        <v>509.33333333333337</v>
      </c>
      <c r="Q35" s="40"/>
      <c r="R35" s="76">
        <f>SUM(R23:R34)</f>
        <v>1900.0000000000002</v>
      </c>
      <c r="S35" s="40"/>
      <c r="T35" s="75">
        <f>SUM(T22:T34)</f>
        <v>20000</v>
      </c>
      <c r="U35">
        <f t="shared" si="8"/>
        <v>200</v>
      </c>
    </row>
    <row r="36" spans="1:22" ht="15" thickBot="1" x14ac:dyDescent="0.35">
      <c r="C36" s="74"/>
      <c r="D36" s="72"/>
      <c r="E36" s="72"/>
      <c r="F36" s="72"/>
      <c r="G36" s="72"/>
      <c r="H36" s="71" t="s">
        <v>88</v>
      </c>
      <c r="I36" s="70">
        <f>SUM(H35:I35)</f>
        <v>450.08500000000015</v>
      </c>
      <c r="J36" s="74"/>
      <c r="K36" s="72"/>
      <c r="L36" s="73"/>
      <c r="M36" s="72"/>
      <c r="N36" s="72"/>
      <c r="O36" s="71" t="s">
        <v>88</v>
      </c>
      <c r="P36" s="70">
        <f>SUM(O35:P35)</f>
        <v>721.93911111111117</v>
      </c>
      <c r="Q36" s="69"/>
      <c r="R36" s="69">
        <f>R35</f>
        <v>1900.0000000000002</v>
      </c>
      <c r="S36" s="69"/>
    </row>
  </sheetData>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5</vt:i4>
      </vt:variant>
    </vt:vector>
  </HeadingPairs>
  <TitlesOfParts>
    <vt:vector size="19" baseType="lpstr">
      <vt:lpstr>Comparatif-SideBySide</vt:lpstr>
      <vt:lpstr>EXPLICATION_RAPIDE_DU_CHIFFRIER</vt:lpstr>
      <vt:lpstr>Template_Questions</vt:lpstr>
      <vt:lpstr>Démontrastion-a-Date</vt:lpstr>
      <vt:lpstr>Francais</vt:lpstr>
      <vt:lpstr>English</vt:lpstr>
      <vt:lpstr>FAQ</vt:lpstr>
      <vt:lpstr>LocationOuAchat</vt:lpstr>
      <vt:lpstr>Feuil1</vt:lpstr>
      <vt:lpstr>Comparatif-SideBySide CASH</vt:lpstr>
      <vt:lpstr>Comparatif-CASH only energy</vt:lpstr>
      <vt:lpstr>Volt_Cout_du_gaz</vt:lpstr>
      <vt:lpstr>Mythes et autres</vt:lpstr>
      <vt:lpstr>KWH</vt:lpstr>
      <vt:lpstr>'Comparatif-CASH only energy'!Zone_d_impression</vt:lpstr>
      <vt:lpstr>'Comparatif-SideBySide'!Zone_d_impression</vt:lpstr>
      <vt:lpstr>'Comparatif-SideBySide CASH'!Zone_d_impression</vt:lpstr>
      <vt:lpstr>English!Zone_d_impression</vt:lpstr>
      <vt:lpstr>Francais!Zone_d_impression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 Janson</dc:creator>
  <cp:lastModifiedBy>Philippe</cp:lastModifiedBy>
  <cp:lastPrinted>2015-10-17T02:18:47Z</cp:lastPrinted>
  <dcterms:created xsi:type="dcterms:W3CDTF">2014-09-04T15:34:56Z</dcterms:created>
  <dcterms:modified xsi:type="dcterms:W3CDTF">2015-10-17T02:22:05Z</dcterms:modified>
</cp:coreProperties>
</file>